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8700" tabRatio="575" activeTab="3"/>
  </bookViews>
  <sheets>
    <sheet name="Ленинградская область" sheetId="4" r:id="rId1"/>
    <sheet name="25.03.2014" sheetId="60" r:id="rId2"/>
    <sheet name="20.05.2014" sheetId="61" r:id="rId3"/>
    <sheet name="30.09.2014" sheetId="62" r:id="rId4"/>
  </sheets>
  <definedNames>
    <definedName name="_xlnm.Print_Titles" localSheetId="2">'20.05.2014'!$1:$2</definedName>
    <definedName name="_xlnm.Print_Titles" localSheetId="1">'25.03.2014'!$1:$2</definedName>
    <definedName name="_xlnm.Print_Titles" localSheetId="3">'30.09.2014'!$1:$2</definedName>
    <definedName name="_xlnm.Print_Area" localSheetId="0">'Ленинградская область'!$A$1:$F$56</definedName>
  </definedNames>
  <calcPr calcId="145621"/>
</workbook>
</file>

<file path=xl/calcChain.xml><?xml version="1.0" encoding="utf-8"?>
<calcChain xmlns="http://schemas.openxmlformats.org/spreadsheetml/2006/main">
  <c r="AX39" i="62" l="1"/>
  <c r="AO53" i="62" l="1"/>
  <c r="AO47" i="62"/>
  <c r="AO39" i="62"/>
  <c r="AO24" i="62"/>
  <c r="AO22" i="62"/>
  <c r="AO21" i="62"/>
  <c r="AO11" i="62"/>
  <c r="N47" i="62"/>
  <c r="N46" i="62"/>
  <c r="N40" i="62"/>
  <c r="N39" i="62"/>
  <c r="AU53" i="62"/>
  <c r="AU47" i="62"/>
  <c r="AU46" i="62"/>
  <c r="AU40" i="62"/>
  <c r="AU39" i="62"/>
  <c r="AU27" i="62"/>
  <c r="AU26" i="62"/>
  <c r="AU24" i="62"/>
  <c r="AU22" i="62"/>
  <c r="AU21" i="62"/>
  <c r="AU15" i="62"/>
  <c r="AU11" i="62"/>
  <c r="V54" i="62"/>
  <c r="V46" i="62"/>
  <c r="V39" i="62"/>
  <c r="V53" i="62"/>
  <c r="V50" i="62"/>
  <c r="V40" i="62"/>
  <c r="AE39" i="62"/>
  <c r="AE37" i="62"/>
  <c r="E39" i="62"/>
  <c r="E47" i="62"/>
  <c r="E53" i="62"/>
  <c r="E46" i="62"/>
  <c r="E27" i="62"/>
  <c r="E26" i="62"/>
  <c r="E24" i="62"/>
  <c r="E15" i="62"/>
  <c r="Q53" i="62"/>
  <c r="Q50" i="62"/>
  <c r="Q40" i="62"/>
  <c r="Q39" i="62"/>
  <c r="Q37" i="62"/>
  <c r="AY50" i="62"/>
  <c r="AY47" i="62"/>
  <c r="AY46" i="62"/>
  <c r="AY40" i="62"/>
  <c r="AY39" i="62"/>
  <c r="AY37" i="62"/>
  <c r="AY24" i="62"/>
  <c r="AY22" i="62"/>
  <c r="AY21" i="62"/>
  <c r="AY15" i="62"/>
  <c r="AY11" i="62"/>
  <c r="T50" i="62"/>
  <c r="T39" i="62"/>
  <c r="T53" i="62"/>
  <c r="AI22" i="62"/>
  <c r="AI21" i="62"/>
  <c r="AI15" i="62"/>
  <c r="AI11" i="62"/>
  <c r="AF55" i="62"/>
  <c r="AF53" i="62"/>
  <c r="AF50" i="62"/>
  <c r="AF49" i="62"/>
  <c r="AF47" i="62"/>
  <c r="AF46" i="62"/>
  <c r="AF39" i="62"/>
  <c r="AF37" i="62"/>
  <c r="AQ55" i="62"/>
  <c r="AQ47" i="62"/>
  <c r="AQ46" i="62"/>
  <c r="AQ40" i="62"/>
  <c r="AQ39" i="62"/>
  <c r="AQ37" i="62"/>
  <c r="AQ27" i="62"/>
  <c r="AQ24" i="62"/>
  <c r="AQ22" i="62"/>
  <c r="AQ21" i="62"/>
  <c r="AQ15" i="62"/>
  <c r="AQ11" i="62"/>
  <c r="F53" i="62" l="1"/>
  <c r="F39" i="62"/>
  <c r="AD53" i="62" l="1"/>
  <c r="AD31" i="62" s="1"/>
  <c r="AD50" i="62"/>
  <c r="AD49" i="62"/>
  <c r="AD47" i="62"/>
  <c r="AD46" i="62"/>
  <c r="AD40" i="62"/>
  <c r="AD39" i="62"/>
  <c r="AD37" i="62"/>
  <c r="AD36" i="62"/>
  <c r="AD27" i="62"/>
  <c r="AD26" i="62"/>
  <c r="AD25" i="62"/>
  <c r="AD24" i="62"/>
  <c r="AD22" i="62"/>
  <c r="AD21" i="62"/>
  <c r="AD10" i="62"/>
  <c r="AD5" i="62"/>
  <c r="AD2" i="62" l="1"/>
  <c r="Q36" i="62"/>
  <c r="Q31" i="62"/>
  <c r="Q2" i="62" s="1"/>
  <c r="R53" i="62"/>
  <c r="R54" i="62"/>
  <c r="R50" i="62"/>
  <c r="R49" i="62"/>
  <c r="R47" i="62"/>
  <c r="R46" i="62"/>
  <c r="R39" i="62"/>
  <c r="BA53" i="62"/>
  <c r="BA50" i="62"/>
  <c r="BA49" i="62"/>
  <c r="BA47" i="62"/>
  <c r="BA46" i="62"/>
  <c r="BA40" i="62"/>
  <c r="BA39" i="62"/>
  <c r="BA37" i="62"/>
  <c r="BA27" i="62"/>
  <c r="BA26" i="62"/>
  <c r="BA10" i="62" s="1"/>
  <c r="BA25" i="62"/>
  <c r="BA24" i="62"/>
  <c r="BA22" i="62"/>
  <c r="BA21" i="62"/>
  <c r="BA15" i="62"/>
  <c r="BA11" i="62"/>
  <c r="BA31" i="62" l="1"/>
  <c r="BA5" i="62"/>
  <c r="BA36" i="62"/>
  <c r="E10" i="62"/>
  <c r="BA2" i="62" l="1"/>
  <c r="P24" i="62" l="1"/>
  <c r="P11" i="62"/>
  <c r="P10" i="62"/>
  <c r="AQ26" i="62"/>
  <c r="L55" i="62" l="1"/>
  <c r="L50" i="62"/>
  <c r="L40" i="62"/>
  <c r="L39" i="62"/>
  <c r="L37" i="62"/>
  <c r="AZ53" i="62"/>
  <c r="AZ50" i="62"/>
  <c r="AZ49" i="62"/>
  <c r="AZ46" i="62"/>
  <c r="AZ47" i="62"/>
  <c r="AZ40" i="62"/>
  <c r="AZ39" i="62"/>
  <c r="AZ37" i="62"/>
  <c r="AZ24" i="62"/>
  <c r="AZ22" i="62"/>
  <c r="AZ21" i="62"/>
  <c r="AZ15" i="62"/>
  <c r="AZ11" i="62"/>
  <c r="AF40" i="62" l="1"/>
  <c r="AF26" i="62"/>
  <c r="AF24" i="62"/>
  <c r="AF22" i="62"/>
  <c r="AF21" i="62"/>
  <c r="AF15" i="62"/>
  <c r="AF11" i="62"/>
  <c r="V10" i="62"/>
  <c r="V5" i="62"/>
  <c r="V31" i="62"/>
  <c r="V36" i="62"/>
  <c r="V2" i="62" l="1"/>
  <c r="AF36" i="62"/>
  <c r="AF31" i="62"/>
  <c r="AF10" i="62"/>
  <c r="AF5" i="62"/>
  <c r="AF2" i="62" s="1"/>
  <c r="J2" i="62"/>
  <c r="J27" i="62"/>
  <c r="J26" i="62"/>
  <c r="J10" i="62" s="1"/>
  <c r="J24" i="62"/>
  <c r="J22" i="62"/>
  <c r="J21" i="62"/>
  <c r="J11" i="62"/>
  <c r="J5" i="62"/>
  <c r="AX27" i="62"/>
  <c r="AX26" i="62"/>
  <c r="AX24" i="62"/>
  <c r="AX22" i="62"/>
  <c r="AX21" i="62"/>
  <c r="AX15" i="62"/>
  <c r="AX11" i="62"/>
  <c r="AX53" i="62"/>
  <c r="AX54" i="62"/>
  <c r="AX50" i="62"/>
  <c r="AX49" i="62"/>
  <c r="AX40" i="62"/>
  <c r="AX37" i="62"/>
  <c r="P36" i="62"/>
  <c r="P31" i="62"/>
  <c r="P5" i="62"/>
  <c r="AP36" i="62"/>
  <c r="AP31" i="62"/>
  <c r="AP27" i="62"/>
  <c r="AP26" i="62"/>
  <c r="AP25" i="62"/>
  <c r="AP24" i="62"/>
  <c r="AP22" i="62"/>
  <c r="AP21" i="62"/>
  <c r="AP11" i="62"/>
  <c r="AP10" i="62" s="1"/>
  <c r="AP5" i="62"/>
  <c r="AT47" i="62"/>
  <c r="AT46" i="62"/>
  <c r="AT39" i="62"/>
  <c r="AT22" i="62"/>
  <c r="AT21" i="62"/>
  <c r="AT15" i="62"/>
  <c r="AT11" i="62"/>
  <c r="P2" i="62" l="1"/>
  <c r="AP2" i="62"/>
  <c r="AB53" i="62"/>
  <c r="AB49" i="62"/>
  <c r="AB47" i="62"/>
  <c r="AB36" i="62" s="1"/>
  <c r="AB46" i="62"/>
  <c r="AB40" i="62"/>
  <c r="AB39" i="62"/>
  <c r="AB37" i="62"/>
  <c r="AB15" i="62"/>
  <c r="AB11" i="62"/>
  <c r="AW47" i="62"/>
  <c r="AC47" i="62"/>
  <c r="AW46" i="62"/>
  <c r="AH46" i="62"/>
  <c r="AC46" i="62"/>
  <c r="AC40" i="62"/>
  <c r="AK39" i="62"/>
  <c r="AH39" i="62"/>
  <c r="AC39" i="62"/>
  <c r="AR37" i="62"/>
  <c r="AZ36" i="62"/>
  <c r="AY36" i="62"/>
  <c r="AX36" i="62"/>
  <c r="AV36" i="62"/>
  <c r="AU36" i="62"/>
  <c r="AT36" i="62"/>
  <c r="AR36" i="62"/>
  <c r="AQ36" i="62"/>
  <c r="AO36" i="62"/>
  <c r="AK36" i="62"/>
  <c r="AJ36" i="62"/>
  <c r="AH36" i="62"/>
  <c r="AE36" i="62"/>
  <c r="AC36" i="62"/>
  <c r="T36" i="62"/>
  <c r="R36" i="62"/>
  <c r="O36" i="62"/>
  <c r="N36" i="62"/>
  <c r="M36" i="62"/>
  <c r="L36" i="62"/>
  <c r="K36" i="62"/>
  <c r="F36" i="62"/>
  <c r="E36" i="62"/>
  <c r="D36" i="62"/>
  <c r="AZ31" i="62"/>
  <c r="AY31" i="62"/>
  <c r="AX31" i="62"/>
  <c r="AW31" i="62"/>
  <c r="AV31" i="62"/>
  <c r="AU31" i="62"/>
  <c r="AT31" i="62"/>
  <c r="AR31" i="62"/>
  <c r="AQ31" i="62"/>
  <c r="AO31" i="62"/>
  <c r="AK31" i="62"/>
  <c r="AJ31" i="62"/>
  <c r="AH31" i="62"/>
  <c r="AE31" i="62"/>
  <c r="AE2" i="62" s="1"/>
  <c r="AC31" i="62"/>
  <c r="T31" i="62"/>
  <c r="T2" i="62" s="1"/>
  <c r="R31" i="62"/>
  <c r="O31" i="62"/>
  <c r="N31" i="62"/>
  <c r="M31" i="62"/>
  <c r="L31" i="62"/>
  <c r="K31" i="62"/>
  <c r="F31" i="62"/>
  <c r="E31" i="62"/>
  <c r="D31" i="62"/>
  <c r="C30" i="62"/>
  <c r="AC27" i="62"/>
  <c r="AT26" i="62"/>
  <c r="AR26" i="62"/>
  <c r="AC26" i="62"/>
  <c r="AR24" i="62"/>
  <c r="AC24" i="62"/>
  <c r="AR22" i="62"/>
  <c r="AC22" i="62"/>
  <c r="AR21" i="62"/>
  <c r="AC21" i="62"/>
  <c r="AR15" i="62"/>
  <c r="AH15" i="62"/>
  <c r="AR11" i="62"/>
  <c r="BE10" i="62"/>
  <c r="BD10" i="62"/>
  <c r="AZ10" i="62"/>
  <c r="AY10" i="62"/>
  <c r="AX10" i="62"/>
  <c r="AW10" i="62"/>
  <c r="AV10" i="62"/>
  <c r="AU10" i="62"/>
  <c r="AT10" i="62"/>
  <c r="AR10" i="62"/>
  <c r="AQ10" i="62"/>
  <c r="AO10" i="62"/>
  <c r="AK10" i="62"/>
  <c r="AJ10" i="62"/>
  <c r="AI10" i="62"/>
  <c r="AH10" i="62"/>
  <c r="AG10" i="62"/>
  <c r="AE10" i="62"/>
  <c r="AC10" i="62"/>
  <c r="AB10" i="62"/>
  <c r="K10" i="62"/>
  <c r="F10" i="62"/>
  <c r="D10" i="62"/>
  <c r="BE5" i="62"/>
  <c r="BD5" i="62"/>
  <c r="AZ5" i="62"/>
  <c r="AY5" i="62"/>
  <c r="AX5" i="62"/>
  <c r="AW5" i="62"/>
  <c r="AV5" i="62"/>
  <c r="AV2" i="62" s="1"/>
  <c r="AU5" i="62"/>
  <c r="AU2" i="62" s="1"/>
  <c r="AT5" i="62"/>
  <c r="AT2" i="62" s="1"/>
  <c r="AR5" i="62"/>
  <c r="AQ5" i="62"/>
  <c r="AQ2" i="62" s="1"/>
  <c r="AO5" i="62"/>
  <c r="AO2" i="62" s="1"/>
  <c r="AK5" i="62"/>
  <c r="AJ5" i="62"/>
  <c r="AJ2" i="62" s="1"/>
  <c r="AI5" i="62"/>
  <c r="AI2" i="62" s="1"/>
  <c r="AH5" i="62"/>
  <c r="AG5" i="62"/>
  <c r="AE5" i="62"/>
  <c r="AC5" i="62"/>
  <c r="AB5" i="62"/>
  <c r="K5" i="62"/>
  <c r="F5" i="62"/>
  <c r="F2" i="62" s="1"/>
  <c r="E5" i="62"/>
  <c r="D5" i="62"/>
  <c r="C4" i="62"/>
  <c r="BE2" i="62"/>
  <c r="BD2" i="62"/>
  <c r="AW2" i="62"/>
  <c r="AR2" i="62"/>
  <c r="AK2" i="62"/>
  <c r="AH2" i="62"/>
  <c r="AG2" i="62"/>
  <c r="AC2" i="62"/>
  <c r="R2" i="62"/>
  <c r="O2" i="62"/>
  <c r="N2" i="62"/>
  <c r="M2" i="62"/>
  <c r="L2" i="62"/>
  <c r="D2" i="62"/>
  <c r="E2" i="62" l="1"/>
  <c r="AY2" i="62"/>
  <c r="K2" i="62"/>
  <c r="AZ2" i="62"/>
  <c r="AX2" i="62"/>
  <c r="C2" i="62"/>
  <c r="AB31" i="62"/>
  <c r="AB2" i="62" s="1"/>
  <c r="AB47" i="61"/>
  <c r="AB46" i="61"/>
  <c r="AB36" i="61"/>
  <c r="AB31" i="61"/>
  <c r="AB10" i="61"/>
  <c r="AB5" i="61"/>
  <c r="AB2" i="61" s="1"/>
  <c r="AQ47" i="61"/>
  <c r="AQ46" i="61"/>
  <c r="AQ36" i="61"/>
  <c r="AQ31" i="61"/>
  <c r="AQ10" i="61"/>
  <c r="AQ5" i="61"/>
  <c r="AQ2" i="61" s="1"/>
  <c r="AJ36" i="61"/>
  <c r="AK39" i="61"/>
  <c r="AK36" i="61" s="1"/>
  <c r="AK31" i="61"/>
  <c r="AK10" i="61"/>
  <c r="C30" i="61"/>
  <c r="AJ10" i="61"/>
  <c r="AK5" i="61"/>
  <c r="AG10" i="61"/>
  <c r="AG5" i="61"/>
  <c r="AG2" i="61" s="1"/>
  <c r="T36" i="61"/>
  <c r="T31" i="61"/>
  <c r="T2" i="61" s="1"/>
  <c r="AI10" i="61"/>
  <c r="AT36" i="61"/>
  <c r="AT31" i="61"/>
  <c r="AT2" i="61" s="1"/>
  <c r="AT26" i="61"/>
  <c r="AT11" i="61"/>
  <c r="BE10" i="61"/>
  <c r="AV10" i="61"/>
  <c r="AW10" i="61"/>
  <c r="AX10" i="61"/>
  <c r="AY10" i="61"/>
  <c r="AZ10" i="61"/>
  <c r="AT10" i="61"/>
  <c r="AT5" i="61"/>
  <c r="AV36" i="61"/>
  <c r="AV31" i="61"/>
  <c r="AV2" i="61" s="1"/>
  <c r="AV5" i="61"/>
  <c r="AJ46" i="61"/>
  <c r="AJ31" i="61"/>
  <c r="AJ2" i="61" s="1"/>
  <c r="AJ5" i="61"/>
  <c r="AW2" i="61"/>
  <c r="AW47" i="61"/>
  <c r="AW46" i="61"/>
  <c r="AW31" i="61"/>
  <c r="AW5" i="61"/>
  <c r="AU5" i="61"/>
  <c r="AU36" i="61"/>
  <c r="AU31" i="61"/>
  <c r="AU2" i="61" s="1"/>
  <c r="AU10" i="61"/>
  <c r="BE5" i="61"/>
  <c r="BE2" i="61" s="1"/>
  <c r="AX55" i="61"/>
  <c r="AO55" i="61"/>
  <c r="AX53" i="61"/>
  <c r="AO53" i="61"/>
  <c r="AX47" i="61"/>
  <c r="AO47" i="61"/>
  <c r="AC47" i="61"/>
  <c r="AX46" i="61"/>
  <c r="AO46" i="61"/>
  <c r="AH46" i="61"/>
  <c r="AC46" i="61"/>
  <c r="AX40" i="61"/>
  <c r="AO40" i="61"/>
  <c r="AC40" i="61"/>
  <c r="F40" i="61"/>
  <c r="AX39" i="61"/>
  <c r="AO39" i="61"/>
  <c r="AH39" i="61"/>
  <c r="AE39" i="61"/>
  <c r="AC39" i="61"/>
  <c r="AR37" i="61"/>
  <c r="AE37" i="61"/>
  <c r="AZ36" i="61"/>
  <c r="AY36" i="61"/>
  <c r="AX36" i="61"/>
  <c r="AR36" i="61"/>
  <c r="AO36" i="61"/>
  <c r="AH36" i="61"/>
  <c r="AE36" i="61"/>
  <c r="AC36" i="61"/>
  <c r="R36" i="61"/>
  <c r="O36" i="61"/>
  <c r="N36" i="61"/>
  <c r="M36" i="61"/>
  <c r="L36" i="61"/>
  <c r="K36" i="61"/>
  <c r="F36" i="61"/>
  <c r="E36" i="61"/>
  <c r="D36" i="61"/>
  <c r="AZ31" i="61"/>
  <c r="AY31" i="61"/>
  <c r="AX31" i="61"/>
  <c r="AR31" i="61"/>
  <c r="AO31" i="61"/>
  <c r="AH31" i="61"/>
  <c r="AH2" i="61" s="1"/>
  <c r="AE31" i="61"/>
  <c r="AC31" i="61"/>
  <c r="R31" i="61"/>
  <c r="O31" i="61"/>
  <c r="N31" i="61"/>
  <c r="M31" i="61"/>
  <c r="L31" i="61"/>
  <c r="K31" i="61"/>
  <c r="F31" i="61"/>
  <c r="E31" i="61"/>
  <c r="D31" i="61"/>
  <c r="AC27" i="61"/>
  <c r="AX26" i="61"/>
  <c r="AR26" i="61"/>
  <c r="AO26" i="61"/>
  <c r="AC26" i="61"/>
  <c r="AX24" i="61"/>
  <c r="AR24" i="61"/>
  <c r="AO24" i="61"/>
  <c r="AC24" i="61"/>
  <c r="AX22" i="61"/>
  <c r="AR22" i="61"/>
  <c r="AO22" i="61"/>
  <c r="AC22" i="61"/>
  <c r="AX21" i="61"/>
  <c r="AR21" i="61"/>
  <c r="AO21" i="61"/>
  <c r="AC21" i="61"/>
  <c r="AX15" i="61"/>
  <c r="AR15" i="61"/>
  <c r="AO15" i="61"/>
  <c r="AH15" i="61"/>
  <c r="AX11" i="61"/>
  <c r="AR11" i="61"/>
  <c r="AO11" i="61"/>
  <c r="F11" i="61"/>
  <c r="BD10" i="61"/>
  <c r="AR10" i="61"/>
  <c r="AO10" i="61"/>
  <c r="AH10" i="61"/>
  <c r="AE10" i="61"/>
  <c r="AC10" i="61"/>
  <c r="K10" i="61"/>
  <c r="F10" i="61"/>
  <c r="E10" i="61"/>
  <c r="D10" i="61"/>
  <c r="BD5" i="61"/>
  <c r="AZ5" i="61"/>
  <c r="AY5" i="61"/>
  <c r="AX5" i="61"/>
  <c r="AR5" i="61"/>
  <c r="AO5" i="61"/>
  <c r="AI5" i="61"/>
  <c r="AI2" i="61" s="1"/>
  <c r="AH5" i="61"/>
  <c r="AE5" i="61"/>
  <c r="AC5" i="61"/>
  <c r="K5" i="61"/>
  <c r="F5" i="61"/>
  <c r="E5" i="61"/>
  <c r="D5" i="61"/>
  <c r="D2" i="61" s="1"/>
  <c r="C4" i="61"/>
  <c r="BD2" i="61"/>
  <c r="AZ2" i="61"/>
  <c r="AY2" i="61"/>
  <c r="AX2" i="61"/>
  <c r="AR2" i="61"/>
  <c r="AO2" i="61"/>
  <c r="AE2" i="61"/>
  <c r="AC2" i="61"/>
  <c r="R2" i="61"/>
  <c r="O2" i="61"/>
  <c r="N2" i="61"/>
  <c r="M2" i="61"/>
  <c r="L2" i="61"/>
  <c r="K2" i="61"/>
  <c r="F2" i="61"/>
  <c r="E2" i="61"/>
  <c r="AK2" i="61" l="1"/>
  <c r="C2" i="61"/>
  <c r="R36" i="60"/>
  <c r="AI2" i="60" l="1"/>
  <c r="BD2" i="60" l="1"/>
  <c r="AR26" i="60" l="1"/>
  <c r="AR24" i="60"/>
  <c r="AR22" i="60"/>
  <c r="AR21" i="60"/>
  <c r="AR15" i="60"/>
  <c r="AR11" i="60"/>
  <c r="AR39" i="60"/>
  <c r="AR37" i="60"/>
  <c r="M2" i="60"/>
  <c r="N2" i="60"/>
  <c r="O2" i="60"/>
  <c r="L2" i="60"/>
  <c r="AX55" i="60"/>
  <c r="AX53" i="60"/>
  <c r="AX47" i="60"/>
  <c r="AX46" i="60"/>
  <c r="AX40" i="60"/>
  <c r="AX39" i="60"/>
  <c r="AX26" i="60"/>
  <c r="AX24" i="60"/>
  <c r="AX22" i="60"/>
  <c r="AX21" i="60"/>
  <c r="AX15" i="60"/>
  <c r="AX11" i="60"/>
  <c r="O36" i="60" l="1"/>
  <c r="AC36" i="60"/>
  <c r="AE36" i="60"/>
  <c r="AH36" i="60"/>
  <c r="AO36" i="60"/>
  <c r="AR36" i="60"/>
  <c r="AX36" i="60"/>
  <c r="AY36" i="60"/>
  <c r="AZ36" i="60"/>
  <c r="K36" i="60"/>
  <c r="L36" i="60"/>
  <c r="M36" i="60"/>
  <c r="N36" i="60"/>
  <c r="F36" i="60"/>
  <c r="E36" i="60"/>
  <c r="D36" i="60"/>
  <c r="AC10" i="60"/>
  <c r="AE10" i="60"/>
  <c r="AH10" i="60"/>
  <c r="AI10" i="60"/>
  <c r="AO10" i="60"/>
  <c r="AR10" i="60"/>
  <c r="AX10" i="60"/>
  <c r="AY10" i="60"/>
  <c r="AZ10" i="60"/>
  <c r="BD10" i="60"/>
  <c r="K10" i="60"/>
  <c r="E10" i="60"/>
  <c r="F10" i="60"/>
  <c r="D10" i="60"/>
  <c r="D5" i="60"/>
  <c r="K2" i="60"/>
  <c r="AC2" i="60"/>
  <c r="AE2" i="60"/>
  <c r="AH2" i="60"/>
  <c r="AO2" i="60"/>
  <c r="AZ2" i="60"/>
  <c r="E31" i="60"/>
  <c r="F31" i="60"/>
  <c r="K31" i="60"/>
  <c r="L31" i="60"/>
  <c r="M31" i="60"/>
  <c r="N31" i="60"/>
  <c r="O31" i="60"/>
  <c r="R31" i="60"/>
  <c r="R2" i="60" s="1"/>
  <c r="AC31" i="60"/>
  <c r="AE31" i="60"/>
  <c r="AH31" i="60"/>
  <c r="AO31" i="60"/>
  <c r="AR31" i="60"/>
  <c r="AX31" i="60"/>
  <c r="AY31" i="60"/>
  <c r="AZ31" i="60"/>
  <c r="K5" i="60"/>
  <c r="AC5" i="60"/>
  <c r="AE5" i="60"/>
  <c r="AH5" i="60"/>
  <c r="AI5" i="60"/>
  <c r="AO5" i="60"/>
  <c r="AR5" i="60"/>
  <c r="AX5" i="60"/>
  <c r="AY5" i="60"/>
  <c r="AZ5" i="60"/>
  <c r="BD5" i="60"/>
  <c r="AO26" i="60"/>
  <c r="AO24" i="60"/>
  <c r="AO22" i="60"/>
  <c r="AO21" i="60"/>
  <c r="AO15" i="60"/>
  <c r="AO11" i="60"/>
  <c r="AO55" i="60"/>
  <c r="AO53" i="60"/>
  <c r="AO47" i="60"/>
  <c r="AO46" i="60"/>
  <c r="AO40" i="60"/>
  <c r="AO39" i="60"/>
  <c r="C30" i="60"/>
  <c r="C2" i="60" s="1"/>
  <c r="C4" i="60"/>
  <c r="AC47" i="60"/>
  <c r="AC46" i="60"/>
  <c r="AC40" i="60"/>
  <c r="AC39" i="60"/>
  <c r="AC27" i="60"/>
  <c r="AC26" i="60"/>
  <c r="AC24" i="60"/>
  <c r="AC22" i="60"/>
  <c r="AC21" i="60"/>
  <c r="AE39" i="60"/>
  <c r="AE37" i="60"/>
  <c r="AH55" i="60"/>
  <c r="AH46" i="60"/>
  <c r="AH39" i="60"/>
  <c r="AH15" i="60"/>
  <c r="AI27" i="60"/>
  <c r="AI26" i="60"/>
  <c r="AI24" i="60"/>
  <c r="AI22" i="60"/>
  <c r="AI21" i="60"/>
  <c r="AI15" i="60"/>
  <c r="AI13" i="60"/>
  <c r="AI11" i="60"/>
  <c r="E2" i="60"/>
  <c r="F2" i="60"/>
  <c r="F40" i="60"/>
  <c r="F11" i="60"/>
  <c r="F5" i="60"/>
  <c r="D31" i="60"/>
  <c r="E5" i="60"/>
  <c r="AR2" i="60" l="1"/>
  <c r="AX2" i="60"/>
  <c r="AY2" i="60"/>
  <c r="D2" i="60"/>
</calcChain>
</file>

<file path=xl/sharedStrings.xml><?xml version="1.0" encoding="utf-8"?>
<sst xmlns="http://schemas.openxmlformats.org/spreadsheetml/2006/main" count="509" uniqueCount="199">
  <si>
    <t>Наименование показателя</t>
  </si>
  <si>
    <t>Значимость показателя, баллы (макс=5)</t>
  </si>
  <si>
    <t>1. Открытость и доступность информации о медицинской организации</t>
  </si>
  <si>
    <t>1) уровень рейтинга на сайте www.bus.gov.ru (от 0 до 1)</t>
  </si>
  <si>
    <t>2) полнота, актуальность и понятность информации о медицинской организации, размещаемой на официальном сайте (балл)</t>
  </si>
  <si>
    <t>макс=5</t>
  </si>
  <si>
    <t>3) наличие и доступность способов обратной связи с потребителями услуг в сфере здравоохранения (балл)</t>
  </si>
  <si>
    <t>4) доля пациентов, считающих информирование о работе медицинской организации и порядке предоставления услуг в сфере здравоохранения достаточным (от числа опрошенных, %)</t>
  </si>
  <si>
    <t xml:space="preserve">Доля полож. ответов </t>
  </si>
  <si>
    <t>5) доля пациентов, удовлетворенных качеством и полнотой информации, доступной на официальном сайте медицинской организации (%)</t>
  </si>
  <si>
    <t>п.13 Анкеты</t>
  </si>
  <si>
    <t>1) доля пациентов, которые записались на прием у врача при первом обращении в медицинскую организацию (%)</t>
  </si>
  <si>
    <t>п.2 Анкеты</t>
  </si>
  <si>
    <t>2) средняя длительность ожидания посещения врача с момента записи на прием</t>
  </si>
  <si>
    <t>п.3 Анкеты</t>
  </si>
  <si>
    <t>3) доступность записи на прием к врачу по телефону, с использованием сети «Интернет», в регистратуре, посредством личного общения с лечащим врачом</t>
  </si>
  <si>
    <t>п.4 Анкеты</t>
  </si>
  <si>
    <t>3. Время ожидания в очереди при получении медицинской услуг</t>
  </si>
  <si>
    <t>1) время ожидания посещения врача в очереди (мин.)</t>
  </si>
  <si>
    <t>п.5Анкеты</t>
  </si>
  <si>
    <t>2) время ожидания плановой госпитализации с момента получения направления на плановую госпитализацию</t>
  </si>
  <si>
    <t>п.8Анкеты</t>
  </si>
  <si>
    <t>3) время ожидания результатов диагностического исследования</t>
  </si>
  <si>
    <t>п.9Анкеты</t>
  </si>
  <si>
    <t>4. Доброжелательность, вежливость и компетентность работников медицинской организации</t>
  </si>
  <si>
    <t>1) доля потребителей услуг, которые высоко оценивают доброжелательность, вежливость и внимательность работников медицинских организаций (%)</t>
  </si>
  <si>
    <t>п.10 (1,2) Анкеты</t>
  </si>
  <si>
    <t>2) доля потребителей услуг, которые высоко оценивают компетентность медицинских работников (%)</t>
  </si>
  <si>
    <t>п.10 (3,4) Анкеты</t>
  </si>
  <si>
    <t>5. Удовлетворенность качеством обслуживания в медицинской организации</t>
  </si>
  <si>
    <t>1) удовлетворенность условиями ожидания приема у врача в очереди</t>
  </si>
  <si>
    <t>п.6Анкеты</t>
  </si>
  <si>
    <t>2) доступность получения медицинской помощи на дому</t>
  </si>
  <si>
    <t>п.7Анкеты</t>
  </si>
  <si>
    <t>3) удовлетворенность посещением медицинской организации</t>
  </si>
  <si>
    <t>п.11Анкеты</t>
  </si>
  <si>
    <t>4) доля пациентов, готовых рекомендовать медицинскую организацию для получения медицинской помощи (%)</t>
  </si>
  <si>
    <t>п.12Анкеты</t>
  </si>
  <si>
    <t>2. Комфортность условий и доступность получения медицинских услуг, в том числе для граждан с ограниченными возможностями здоровья</t>
  </si>
  <si>
    <t>амбулаторные условия</t>
  </si>
  <si>
    <t>1 квартал</t>
  </si>
  <si>
    <t>2 квартал</t>
  </si>
  <si>
    <t>3 квартал</t>
  </si>
  <si>
    <t>4 квартал</t>
  </si>
  <si>
    <t>2014 год</t>
  </si>
  <si>
    <t>0-1</t>
  </si>
  <si>
    <t>2)полнота, актуальность и понятность информации о медицинской организации, размещаемой на официальном сайте (балл)</t>
  </si>
  <si>
    <t>5) доля пациентов, удовлетворенных качеством и полнотой информации доступной на официальном сайте медицинской организации (%)</t>
  </si>
  <si>
    <t>п. 17 Анкеты</t>
  </si>
  <si>
    <t xml:space="preserve">1) доля пациентов, у которых не возникла необходимость приобретать лекарственные средства, необходимые для лечения, за свой счет (%) </t>
  </si>
  <si>
    <t>п. 11 Анкеты</t>
  </si>
  <si>
    <t>2) доля пациентов, у которых не возникла необходимость оплачивать дополнительные диагностические исследования за свой счет (%)</t>
  </si>
  <si>
    <t>п. 12 Анкеты</t>
  </si>
  <si>
    <t>3. Время ожидания в очереди при получении медицинской услуги</t>
  </si>
  <si>
    <t>1) время ожидания в приемном отделении (в минутах)</t>
  </si>
  <si>
    <t>п. 3 Анкеты</t>
  </si>
  <si>
    <t>2) срок ожидания плановой госпитализации по направлению врачей поликлиник (в днях)</t>
  </si>
  <si>
    <t>п. 4 Анкеты</t>
  </si>
  <si>
    <t>3) соблюдение назначенного срока плановой госпитализации (с нарушением срока, %)</t>
  </si>
  <si>
    <t>Соответствие требованиям ТП ЛО</t>
  </si>
  <si>
    <t>п.6 (1,2) Анкеты</t>
  </si>
  <si>
    <t>1) доля пациентов, удовлетворенных условиями оказания медицинской помощи (%)</t>
  </si>
  <si>
    <t>п. 15 Анкеты</t>
  </si>
  <si>
    <t>2) доля пациентов, готовых рекомендовать медицинскую организацию для получения медицинской помощи (%)</t>
  </si>
  <si>
    <t>п. 16 Анкеты</t>
  </si>
  <si>
    <t>3)доля пациентов, удовлетворенных продолжительностью, условиями ожидания, отношением персонала больницы в приемном покое (%)</t>
  </si>
  <si>
    <t>п. 2 Анкеты</t>
  </si>
  <si>
    <t>4) удовлетворенность действиями врачей и медсестер по обезболиванию</t>
  </si>
  <si>
    <t>п. 5 Анкеты</t>
  </si>
  <si>
    <t>5) доля пациентов, удовлетворенных питанием в медицинской организации (%)</t>
  </si>
  <si>
    <t>п. 7 Анкеты</t>
  </si>
  <si>
    <t>п. 8 Анкеты</t>
  </si>
  <si>
    <t>7) доля пациентов, удовлетворенных качеством уборки помещений, освещением комнат, температурным режимом (%)</t>
  </si>
  <si>
    <t>п. 9 Анкеты</t>
  </si>
  <si>
    <t>8) удовлетворенность действиями персонала медицинской организации по уходу</t>
  </si>
  <si>
    <t>п. 10 Анкеты</t>
  </si>
  <si>
    <t>Стационарные условия</t>
  </si>
  <si>
    <t>Количество анкет</t>
  </si>
  <si>
    <t>Итоговый показатель</t>
  </si>
  <si>
    <t>6) удовлетворенность пребыванием в медицинской организации в ночное время</t>
  </si>
  <si>
    <t>п.6 (3,4) Анкеты</t>
  </si>
  <si>
    <t>Доля полож. ответов п.2-17 Анкеты</t>
  </si>
  <si>
    <t xml:space="preserve">ГБУЗ Ленинградская областная клиническая больница </t>
  </si>
  <si>
    <t xml:space="preserve">ЛО ГБУЗ "Детская клиническая больница" </t>
  </si>
  <si>
    <t xml:space="preserve">ГАУЗ "Ленинградский областной кардиологический диспансер" </t>
  </si>
  <si>
    <t xml:space="preserve">ГБУЗ "Ленинградский областной онкологический диспансер" </t>
  </si>
  <si>
    <t xml:space="preserve">ГБУЗ ЛО "Центр профессиональной патологии" </t>
  </si>
  <si>
    <t xml:space="preserve">ГБУЗ "Ленинградский областной Центр специализированных видов медицинской помощи" </t>
  </si>
  <si>
    <t xml:space="preserve">ГКУЗ ЛО "Центр по профилактике и борьбе со СПИД и инфекционными заболеваниями" </t>
  </si>
  <si>
    <t xml:space="preserve">ГКУЗ Ленинградский областной психоневрологический диспансер </t>
  </si>
  <si>
    <t xml:space="preserve">ГКУЗ ЛО "Дружносельская психиатрическая больница" </t>
  </si>
  <si>
    <t xml:space="preserve">ЛО ГКУЗ "Свирская психиатрическая больница" </t>
  </si>
  <si>
    <t xml:space="preserve">ГКУЗ ЛО "Тихвинская психиатрическая больница" </t>
  </si>
  <si>
    <t xml:space="preserve">ЛО ГКУЗ "Ульяновская Областная психиатрическая больница" </t>
  </si>
  <si>
    <t>ГКУЗ "Ленинградский областной противотуберкулезный диспансер".</t>
  </si>
  <si>
    <t xml:space="preserve">ГКУЗ ЛО "Областная туберкулезная больница в г. Тихвине" </t>
  </si>
  <si>
    <t xml:space="preserve">ГКУЗ ЛО "Зеленохолмская туберкулезная больница" </t>
  </si>
  <si>
    <t xml:space="preserve">ГКУЗ ЛО "Туберкулезная больница "Дружноселье" </t>
  </si>
  <si>
    <t xml:space="preserve">ГКУЗ ЛО "Областная туберкулезная больница в городе Выборге" </t>
  </si>
  <si>
    <t xml:space="preserve">ГКУЗ Ленинградский областной наркологический диспансер </t>
  </si>
  <si>
    <t xml:space="preserve">ЛО ГКУЗ "Выборгский межрайонный наркологический диспансер" </t>
  </si>
  <si>
    <t xml:space="preserve">ГКУЗ Детский специализированный санаторий "Зорька" </t>
  </si>
  <si>
    <t xml:space="preserve">ГБУЗ ЛО Детский областной противотуберкулезный санаторий "Сосновый мыс" </t>
  </si>
  <si>
    <t xml:space="preserve">ГКУЗ Областной Дом ребенка в г. Тихвине Комитета по здравоохранению Ленинградской области </t>
  </si>
  <si>
    <t xml:space="preserve">ГКУЗ ЛО "Лужский специализированный Дом ребенка" </t>
  </si>
  <si>
    <t xml:space="preserve">ГКУЗ ЛО "Всеволожский специализированный Дом ребенка" </t>
  </si>
  <si>
    <t xml:space="preserve">ГБУЗ ЛО "Бокситогорская межрайонная больница" </t>
  </si>
  <si>
    <t xml:space="preserve">ГБУЗ ЛО "Волховская межрайонная больница" </t>
  </si>
  <si>
    <t xml:space="preserve">ГБУЗ ЛО "Волосовская межрайонная больница" </t>
  </si>
  <si>
    <t xml:space="preserve">ГБУЗ ЛО "Всеволожская клиническая межрайонная больница" </t>
  </si>
  <si>
    <t xml:space="preserve">ГБУЗ ЛО "Токсовская районная больница" </t>
  </si>
  <si>
    <t xml:space="preserve">ГБУЗ ЛО "Сертоловская городская больница" </t>
  </si>
  <si>
    <t xml:space="preserve">ГБУЗ ЛО "Выборгская межрайонная больница" </t>
  </si>
  <si>
    <t xml:space="preserve">ГБУЗ ЛО "Рощинская районная больница" </t>
  </si>
  <si>
    <t xml:space="preserve">ГБУЗ ЛО "Приморская районная больница" </t>
  </si>
  <si>
    <t xml:space="preserve">ГБУЗ ЛО "Выборгская детская городская больница" </t>
  </si>
  <si>
    <t xml:space="preserve">ГБУЗ ЛО "Выборгский родильный дом" </t>
  </si>
  <si>
    <t xml:space="preserve">ГБУЗ ЛО "Светогорская районная больница" </t>
  </si>
  <si>
    <t xml:space="preserve">ГБУЗ ЛО "Выборгская станция скорой медицинской помощи" </t>
  </si>
  <si>
    <t xml:space="preserve">ГБУЗ ЛО "Гатчинская клиническая межрайонная больница" </t>
  </si>
  <si>
    <t xml:space="preserve">ГАУЗ ЛО "Вырицкая районная больница" </t>
  </si>
  <si>
    <t xml:space="preserve">ГБУЗ ЛО "Кингисеппская межрайонная больница им. П.Н.Прохорова" </t>
  </si>
  <si>
    <t xml:space="preserve">ГБУЗ ЛО "Киришская межрайонная больница" </t>
  </si>
  <si>
    <t xml:space="preserve">ГБУЗ ЛО "Кировская межрайонная больница" </t>
  </si>
  <si>
    <t xml:space="preserve">ГБУЗ ЛО "Лодейнопольская межрайонная больница" </t>
  </si>
  <si>
    <t xml:space="preserve">ГБУЗ ЛО "Ломоносовская межрайонная больница им. И.Н.Юдченко" </t>
  </si>
  <si>
    <t xml:space="preserve">ГБУЗ ЛО "Лужская межрайонная больница" </t>
  </si>
  <si>
    <t xml:space="preserve">ГБУЗ ЛО "Подпорожская межрайонная больница" </t>
  </si>
  <si>
    <t xml:space="preserve">ГБУЗ ЛО "Приозерская межрайонная больница" </t>
  </si>
  <si>
    <t xml:space="preserve">ГБУЗ ЛО "Сланцевская межрайонная больница" </t>
  </si>
  <si>
    <t xml:space="preserve">ГБУЗ ЛО "Тихвинская межрайонная больница им.А.Ф.Калмыкова" </t>
  </si>
  <si>
    <t xml:space="preserve">ГБУЗ ЛО "Тосненская клиническая межрайонная больница" </t>
  </si>
  <si>
    <t xml:space="preserve">ГБУЗ ЛО "Бокситогорская стоматологическая поликлиника" </t>
  </si>
  <si>
    <t xml:space="preserve">ГБУЗ ЛО "Волховская стоматологическая поликлиника" </t>
  </si>
  <si>
    <t xml:space="preserve">ГАУЗ ЛО "Выборгская стоматологическая поликлиника" </t>
  </si>
  <si>
    <t xml:space="preserve">ГБУЗ ЛО "Кировская стоматологическая поликлиника" </t>
  </si>
  <si>
    <t>ЛОГП "Киришская стоматологическая поликлиника"</t>
  </si>
  <si>
    <t>№ п/п</t>
  </si>
  <si>
    <t>Наименование ЛПУ</t>
  </si>
  <si>
    <t xml:space="preserve">ГБУЗ ЛО "Всеволожская КМБ" </t>
  </si>
  <si>
    <t xml:space="preserve">ГБУЗ ЛО "Гатчинская КМБ" </t>
  </si>
  <si>
    <t xml:space="preserve">ГБУЗ ЛО "Тосненская КМБ" </t>
  </si>
  <si>
    <t xml:space="preserve">ГБУЗ ЛО "Бокситогорская МБ" </t>
  </si>
  <si>
    <t xml:space="preserve">ГБУЗ ЛО "Волховская МБ" </t>
  </si>
  <si>
    <t xml:space="preserve">ГБУЗ ЛО "Волосовская МБ" </t>
  </si>
  <si>
    <t xml:space="preserve">ГБУЗ ЛО "Выборгская МБ" </t>
  </si>
  <si>
    <t xml:space="preserve">ГБУЗ ЛО "Киришская МБ" </t>
  </si>
  <si>
    <t xml:space="preserve">ГБУЗ ЛО "Кировская МБ" </t>
  </si>
  <si>
    <t xml:space="preserve">ГБУЗ ЛО "Лодейнопольская МБ" </t>
  </si>
  <si>
    <t xml:space="preserve">ГБУЗ ЛО "Лужская МБ" </t>
  </si>
  <si>
    <t xml:space="preserve">ГБУЗ ЛО "Подпорожская МБ" </t>
  </si>
  <si>
    <t xml:space="preserve">ГБУЗ ЛО "Приозерская МБ" </t>
  </si>
  <si>
    <t xml:space="preserve">ГБУЗ ЛО "Сланцевская МБ" </t>
  </si>
  <si>
    <t xml:space="preserve">ГБУЗ ЛО "Токсовская РБ" </t>
  </si>
  <si>
    <t xml:space="preserve">ГБУЗ ЛО "Рощинская РБ" </t>
  </si>
  <si>
    <t xml:space="preserve">ГБУЗ ЛО "Приморская РБ" </t>
  </si>
  <si>
    <t xml:space="preserve">ГБУЗ ЛО "Светогорская РБ" </t>
  </si>
  <si>
    <t xml:space="preserve">ГАУЗ ЛО "Вырицкая РБ" </t>
  </si>
  <si>
    <t xml:space="preserve">ГБУЗ ЛО "Бокситогорская СП" </t>
  </si>
  <si>
    <t xml:space="preserve">ГБУЗ ЛО "Волховская СП" </t>
  </si>
  <si>
    <t xml:space="preserve">ГАУЗ ЛО "Выборгская СП" </t>
  </si>
  <si>
    <t xml:space="preserve">ГБУЗ ЛО "Кировская СП" </t>
  </si>
  <si>
    <t>ЛОГП "Киришская СП"</t>
  </si>
  <si>
    <t xml:space="preserve">ГБУЗ ЛО "Выборгская СМП" </t>
  </si>
  <si>
    <t>ГБУЗ ЛОКБ</t>
  </si>
  <si>
    <t xml:space="preserve">ГАУЗ "ЛОКД" </t>
  </si>
  <si>
    <t xml:space="preserve">ГБУЗ "ЛООД" </t>
  </si>
  <si>
    <t xml:space="preserve">ГКУЗ ЛОПНД </t>
  </si>
  <si>
    <t xml:space="preserve">ГКУЗ ЛО "Дружносельская ПБ" </t>
  </si>
  <si>
    <t xml:space="preserve">ЛО ГКУЗ "Свирская ПБ" </t>
  </si>
  <si>
    <t xml:space="preserve">ГКУЗ ЛО "Тихвинская ПБ" </t>
  </si>
  <si>
    <t xml:space="preserve">ЛО ГКУЗ "Ульяновская ОПБ" </t>
  </si>
  <si>
    <t xml:space="preserve">ГКУЗ ЛО "Зеленохолмская ТБ" </t>
  </si>
  <si>
    <t xml:space="preserve">ГКУЗ ЛО "ТБ "Дружноселье" </t>
  </si>
  <si>
    <t xml:space="preserve">ГКУЗ ЛО "ОТБ в г. Тихвине" </t>
  </si>
  <si>
    <t xml:space="preserve">ГКУЗ ЛО "ОТБ в городе Выборге" </t>
  </si>
  <si>
    <t xml:space="preserve">ГКУЗ ЛОНД </t>
  </si>
  <si>
    <t xml:space="preserve">ЛО ГКУЗ "Выборгский МНД" </t>
  </si>
  <si>
    <t xml:space="preserve">ГБУЗ ЛО "Выборгская ДГБ" </t>
  </si>
  <si>
    <t xml:space="preserve">ГБУЗ ЛО "Сертоловская ГБ" </t>
  </si>
  <si>
    <t>ГБУЗ ЛО "Выборгский РД"</t>
  </si>
  <si>
    <t xml:space="preserve">ГБУЗ ЛО "Кингисеппская МБ" </t>
  </si>
  <si>
    <t xml:space="preserve">ГБУЗ ЛО "Ломоносовская МБ" </t>
  </si>
  <si>
    <t xml:space="preserve">ГБУЗ ЛО "Тихвинская МБ" </t>
  </si>
  <si>
    <t xml:space="preserve">ЛО ГБУЗ "ДКБ" </t>
  </si>
  <si>
    <t>ГБУЗ ЛеноблЦентр</t>
  </si>
  <si>
    <t>ГКУЗ "ЛОПТД".</t>
  </si>
  <si>
    <t xml:space="preserve">ГКУЗ ЛО "Центр СПИД" </t>
  </si>
  <si>
    <t xml:space="preserve">ГБУЗ ЛО ДС "Сосновый мыс" </t>
  </si>
  <si>
    <t xml:space="preserve">ГКУЗ ДС "Зорька" </t>
  </si>
  <si>
    <t>ГКУЗ  Дом ребенка в г. Тихвине</t>
  </si>
  <si>
    <t xml:space="preserve">ГКУЗ ЛО "Лужский Дом ребенка" </t>
  </si>
  <si>
    <t xml:space="preserve">ГКУЗ ЛО "Всеволожский  Дом ребенка" </t>
  </si>
  <si>
    <t>Наименование медицинской организации</t>
  </si>
  <si>
    <t>Средн. по ЛО</t>
  </si>
  <si>
    <t>2) средняя длительность ожидания посещения врача с момента записи на прием (в днях)</t>
  </si>
  <si>
    <r>
      <t xml:space="preserve">Наименование медицинской организации
</t>
    </r>
    <r>
      <rPr>
        <b/>
        <sz val="14"/>
        <rFont val="Times New Roman"/>
        <family val="1"/>
        <charset val="204"/>
      </rPr>
      <t>2 квартал 2014 г.
(заседение от 20.05.2014 г.)</t>
    </r>
  </si>
  <si>
    <r>
      <t xml:space="preserve">Наименование медицинской организации
</t>
    </r>
    <r>
      <rPr>
        <b/>
        <sz val="12"/>
        <rFont val="Times New Roman"/>
        <family val="1"/>
        <charset val="204"/>
      </rPr>
      <t>1 квартал 2014 г.
(заседение от 25.03.2014 г.)</t>
    </r>
  </si>
  <si>
    <t>Значимость пок-ля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</si>
</sst>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5" fillId="0" borderId="0" xfId="0" applyFont="1"/>
    <xf numFmtId="0" fontId="5" fillId="2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9" fontId="5" fillId="0" borderId="1" xfId="2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9" fontId="5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9" fontId="5" fillId="4" borderId="1" xfId="2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2" fontId="9" fillId="0" borderId="1" xfId="2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9" fillId="5" borderId="1" xfId="2" applyNumberFormat="1" applyFont="1" applyFill="1" applyBorder="1" applyAlignment="1">
      <alignment horizontal="center" vertical="center"/>
    </xf>
    <xf numFmtId="9" fontId="5" fillId="5" borderId="1" xfId="2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textRotation="90" wrapText="1"/>
    </xf>
    <xf numFmtId="2" fontId="9" fillId="5" borderId="1" xfId="0" applyNumberFormat="1" applyFont="1" applyFill="1" applyBorder="1" applyAlignment="1">
      <alignment horizontal="center" vertical="center"/>
    </xf>
    <xf numFmtId="9" fontId="5" fillId="5" borderId="1" xfId="0" applyNumberFormat="1" applyFont="1" applyFill="1" applyBorder="1" applyAlignment="1">
      <alignment horizontal="center" vertical="center"/>
    </xf>
    <xf numFmtId="9" fontId="5" fillId="5" borderId="1" xfId="2" applyNumberFormat="1" applyFont="1" applyFill="1" applyBorder="1" applyAlignment="1">
      <alignment horizontal="center" vertical="center"/>
    </xf>
    <xf numFmtId="0" fontId="5" fillId="5" borderId="1" xfId="1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13" fontId="5" fillId="5" borderId="1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3" borderId="0" xfId="0" applyFont="1" applyFill="1"/>
    <xf numFmtId="0" fontId="5" fillId="4" borderId="0" xfId="0" applyFont="1" applyFill="1"/>
    <xf numFmtId="0" fontId="4" fillId="7" borderId="1" xfId="0" applyFont="1" applyFill="1" applyBorder="1" applyAlignment="1">
      <alignment horizontal="center" vertical="center" textRotation="90" wrapText="1"/>
    </xf>
    <xf numFmtId="9" fontId="5" fillId="7" borderId="1" xfId="2" applyFont="1" applyFill="1" applyBorder="1" applyAlignment="1">
      <alignment horizontal="center" vertical="center"/>
    </xf>
    <xf numFmtId="9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</cellXfs>
  <cellStyles count="4">
    <cellStyle name="Гиперссылка" xfId="3" builtinId="8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bus.gov.ru/" TargetMode="External"/><Relationship Id="rId1" Type="http://schemas.openxmlformats.org/officeDocument/2006/relationships/hyperlink" Target="http://www.bus.gov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us.gov.ru/" TargetMode="External"/><Relationship Id="rId1" Type="http://schemas.openxmlformats.org/officeDocument/2006/relationships/hyperlink" Target="http://www.bus.gov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bus.gov.ru/" TargetMode="External"/><Relationship Id="rId1" Type="http://schemas.openxmlformats.org/officeDocument/2006/relationships/hyperlink" Target="http://www.bus.g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view="pageBreakPreview" zoomScale="85" zoomScaleNormal="100" zoomScaleSheetLayoutView="85" workbookViewId="0">
      <selection sqref="A1:XFD1048576"/>
    </sheetView>
  </sheetViews>
  <sheetFormatPr defaultRowHeight="15.75" x14ac:dyDescent="0.25"/>
  <cols>
    <col min="1" max="1" width="5.85546875" style="7" customWidth="1"/>
    <col min="2" max="2" width="73.28515625" style="8" customWidth="1"/>
    <col min="3" max="3" width="9.85546875" style="16" hidden="1" customWidth="1"/>
    <col min="4" max="4" width="10.5703125" style="16" customWidth="1"/>
    <col min="5" max="5" width="10.5703125" style="16" bestFit="1" customWidth="1"/>
    <col min="6" max="7" width="10.5703125" style="16" customWidth="1"/>
    <col min="8" max="16384" width="9.140625" style="6"/>
  </cols>
  <sheetData>
    <row r="1" spans="1:7" ht="31.5" x14ac:dyDescent="0.25">
      <c r="A1" s="4" t="s">
        <v>137</v>
      </c>
      <c r="B1" s="9" t="s">
        <v>138</v>
      </c>
      <c r="C1" s="10" t="s">
        <v>44</v>
      </c>
      <c r="D1" s="10" t="s">
        <v>40</v>
      </c>
      <c r="E1" s="10" t="s">
        <v>41</v>
      </c>
      <c r="F1" s="10" t="s">
        <v>42</v>
      </c>
      <c r="G1" s="10" t="s">
        <v>43</v>
      </c>
    </row>
    <row r="2" spans="1:7" x14ac:dyDescent="0.25">
      <c r="A2" s="4">
        <v>1</v>
      </c>
      <c r="B2" s="5" t="s">
        <v>82</v>
      </c>
      <c r="C2" s="15"/>
      <c r="D2" s="30">
        <v>0.96715909090909102</v>
      </c>
      <c r="E2" s="30">
        <v>0.98</v>
      </c>
      <c r="F2" s="30">
        <v>1</v>
      </c>
      <c r="G2" s="15"/>
    </row>
    <row r="3" spans="1:7" x14ac:dyDescent="0.25">
      <c r="A3" s="4">
        <v>2</v>
      </c>
      <c r="B3" s="5" t="s">
        <v>83</v>
      </c>
      <c r="C3" s="15"/>
      <c r="D3" s="30">
        <v>0.73909090909090902</v>
      </c>
      <c r="E3" s="30">
        <v>0.73909090909090902</v>
      </c>
      <c r="F3" s="30">
        <v>0.76181269078996361</v>
      </c>
      <c r="G3" s="15"/>
    </row>
    <row r="4" spans="1:7" x14ac:dyDescent="0.25">
      <c r="A4" s="4">
        <v>3</v>
      </c>
      <c r="B4" s="5" t="s">
        <v>84</v>
      </c>
      <c r="C4" s="15"/>
      <c r="D4" s="30">
        <v>0.99696746880570419</v>
      </c>
      <c r="E4" s="30">
        <v>0.99696746880570419</v>
      </c>
      <c r="F4" s="30">
        <v>0.99823943661971826</v>
      </c>
      <c r="G4" s="15"/>
    </row>
    <row r="5" spans="1:7" x14ac:dyDescent="0.25">
      <c r="A5" s="4">
        <v>4</v>
      </c>
      <c r="B5" s="5" t="s">
        <v>85</v>
      </c>
      <c r="C5" s="15"/>
      <c r="D5" s="30"/>
      <c r="E5" s="30"/>
      <c r="F5" s="30"/>
      <c r="G5" s="15"/>
    </row>
    <row r="6" spans="1:7" x14ac:dyDescent="0.25">
      <c r="A6" s="4">
        <v>5</v>
      </c>
      <c r="B6" s="5" t="s">
        <v>86</v>
      </c>
      <c r="C6" s="15"/>
      <c r="D6" s="30"/>
      <c r="E6" s="30"/>
      <c r="F6" s="30"/>
      <c r="G6" s="15"/>
    </row>
    <row r="7" spans="1:7" ht="31.5" x14ac:dyDescent="0.25">
      <c r="A7" s="4">
        <v>6</v>
      </c>
      <c r="B7" s="5" t="s">
        <v>87</v>
      </c>
      <c r="C7" s="15"/>
      <c r="D7" s="30"/>
      <c r="E7" s="30"/>
      <c r="F7" s="30"/>
      <c r="G7" s="15"/>
    </row>
    <row r="8" spans="1:7" ht="31.5" x14ac:dyDescent="0.25">
      <c r="A8" s="4">
        <v>7</v>
      </c>
      <c r="B8" s="5" t="s">
        <v>88</v>
      </c>
      <c r="C8" s="15"/>
      <c r="D8" s="30"/>
      <c r="E8" s="30"/>
      <c r="F8" s="30">
        <v>0.964349376114082</v>
      </c>
      <c r="G8" s="15"/>
    </row>
    <row r="9" spans="1:7" x14ac:dyDescent="0.25">
      <c r="A9" s="4">
        <v>8</v>
      </c>
      <c r="B9" s="5" t="s">
        <v>89</v>
      </c>
      <c r="C9" s="15"/>
      <c r="D9" s="30">
        <v>0.76988636363636365</v>
      </c>
      <c r="E9" s="30">
        <v>0.76988636363636365</v>
      </c>
      <c r="F9" s="30">
        <v>1</v>
      </c>
      <c r="G9" s="15"/>
    </row>
    <row r="10" spans="1:7" x14ac:dyDescent="0.25">
      <c r="A10" s="4">
        <v>9</v>
      </c>
      <c r="B10" s="5" t="s">
        <v>90</v>
      </c>
      <c r="C10" s="15"/>
      <c r="D10" s="30">
        <v>0.98750000000000004</v>
      </c>
      <c r="E10" s="30">
        <v>0.98750000000000004</v>
      </c>
      <c r="F10" s="30">
        <v>0.99285714285714288</v>
      </c>
      <c r="G10" s="15"/>
    </row>
    <row r="11" spans="1:7" x14ac:dyDescent="0.25">
      <c r="A11" s="4">
        <v>10</v>
      </c>
      <c r="B11" s="5" t="s">
        <v>91</v>
      </c>
      <c r="C11" s="15"/>
      <c r="D11" s="30">
        <v>0.99</v>
      </c>
      <c r="E11" s="30">
        <v>0.99</v>
      </c>
      <c r="F11" s="30">
        <v>0.99</v>
      </c>
      <c r="G11" s="15"/>
    </row>
    <row r="12" spans="1:7" x14ac:dyDescent="0.25">
      <c r="A12" s="4">
        <v>11</v>
      </c>
      <c r="B12" s="5" t="s">
        <v>92</v>
      </c>
      <c r="C12" s="15"/>
      <c r="D12" s="30">
        <v>0.78625</v>
      </c>
      <c r="E12" s="30">
        <v>0.78625</v>
      </c>
      <c r="F12" s="30">
        <v>0.79625000000000001</v>
      </c>
      <c r="G12" s="15"/>
    </row>
    <row r="13" spans="1:7" ht="16.5" customHeight="1" x14ac:dyDescent="0.25">
      <c r="A13" s="4">
        <v>12</v>
      </c>
      <c r="B13" s="5" t="s">
        <v>93</v>
      </c>
      <c r="C13" s="15"/>
      <c r="D13" s="30">
        <v>0.80125000000000002</v>
      </c>
      <c r="E13" s="30">
        <v>0.80125000000000002</v>
      </c>
      <c r="F13" s="30">
        <v>0.80125000000000002</v>
      </c>
      <c r="G13" s="15"/>
    </row>
    <row r="14" spans="1:7" x14ac:dyDescent="0.25">
      <c r="A14" s="4">
        <v>13</v>
      </c>
      <c r="B14" s="5" t="s">
        <v>94</v>
      </c>
      <c r="C14" s="15"/>
      <c r="D14" s="30"/>
      <c r="E14" s="30"/>
      <c r="F14" s="30">
        <v>0.97045454545454546</v>
      </c>
      <c r="G14" s="15"/>
    </row>
    <row r="15" spans="1:7" x14ac:dyDescent="0.25">
      <c r="A15" s="4">
        <v>14</v>
      </c>
      <c r="B15" s="5" t="s">
        <v>95</v>
      </c>
      <c r="C15" s="15"/>
      <c r="D15" s="30"/>
      <c r="E15" s="30"/>
      <c r="F15" s="30">
        <v>0.9893617021276595</v>
      </c>
      <c r="G15" s="15"/>
    </row>
    <row r="16" spans="1:7" x14ac:dyDescent="0.25">
      <c r="A16" s="4">
        <v>15</v>
      </c>
      <c r="B16" s="5" t="s">
        <v>96</v>
      </c>
      <c r="C16" s="15"/>
      <c r="D16" s="30">
        <v>0.77749999999999997</v>
      </c>
      <c r="E16" s="30">
        <v>0.77749999999999997</v>
      </c>
      <c r="F16" s="30">
        <v>0.7790178571428571</v>
      </c>
      <c r="G16" s="15"/>
    </row>
    <row r="17" spans="1:7" x14ac:dyDescent="0.25">
      <c r="A17" s="4">
        <v>16</v>
      </c>
      <c r="B17" s="5" t="s">
        <v>97</v>
      </c>
      <c r="C17" s="15"/>
      <c r="D17" s="30"/>
      <c r="E17" s="30"/>
      <c r="F17" s="30"/>
      <c r="G17" s="15"/>
    </row>
    <row r="18" spans="1:7" x14ac:dyDescent="0.25">
      <c r="A18" s="4">
        <v>17</v>
      </c>
      <c r="B18" s="5" t="s">
        <v>98</v>
      </c>
      <c r="C18" s="15"/>
      <c r="D18" s="30"/>
      <c r="E18" s="30">
        <v>0.80500000000000005</v>
      </c>
      <c r="F18" s="30">
        <v>0.80640243902439024</v>
      </c>
      <c r="G18" s="15"/>
    </row>
    <row r="19" spans="1:7" x14ac:dyDescent="0.25">
      <c r="A19" s="4">
        <v>18</v>
      </c>
      <c r="B19" s="5" t="s">
        <v>99</v>
      </c>
      <c r="C19" s="15"/>
      <c r="D19" s="30"/>
      <c r="E19" s="30"/>
      <c r="F19" s="30"/>
      <c r="G19" s="15"/>
    </row>
    <row r="20" spans="1:7" x14ac:dyDescent="0.25">
      <c r="A20" s="4">
        <v>19</v>
      </c>
      <c r="B20" s="5" t="s">
        <v>100</v>
      </c>
      <c r="C20" s="15"/>
      <c r="D20" s="30"/>
      <c r="E20" s="30"/>
      <c r="F20" s="30">
        <v>0.76585227272727274</v>
      </c>
      <c r="G20" s="15"/>
    </row>
    <row r="21" spans="1:7" x14ac:dyDescent="0.25">
      <c r="A21" s="4">
        <v>20</v>
      </c>
      <c r="B21" s="5" t="s">
        <v>101</v>
      </c>
      <c r="C21" s="15"/>
      <c r="D21" s="30"/>
      <c r="E21" s="30"/>
      <c r="F21" s="30"/>
      <c r="G21" s="15"/>
    </row>
    <row r="22" spans="1:7" ht="31.5" x14ac:dyDescent="0.25">
      <c r="A22" s="4">
        <v>21</v>
      </c>
      <c r="B22" s="5" t="s">
        <v>102</v>
      </c>
      <c r="C22" s="15"/>
      <c r="D22" s="30"/>
      <c r="E22" s="30"/>
      <c r="F22" s="30"/>
      <c r="G22" s="15"/>
    </row>
    <row r="23" spans="1:7" ht="31.5" x14ac:dyDescent="0.25">
      <c r="A23" s="4">
        <v>22</v>
      </c>
      <c r="B23" s="5" t="s">
        <v>103</v>
      </c>
      <c r="C23" s="15"/>
      <c r="D23" s="30"/>
      <c r="E23" s="30"/>
      <c r="F23" s="30"/>
      <c r="G23" s="15"/>
    </row>
    <row r="24" spans="1:7" x14ac:dyDescent="0.25">
      <c r="A24" s="4">
        <v>23</v>
      </c>
      <c r="B24" s="5" t="s">
        <v>104</v>
      </c>
      <c r="C24" s="15"/>
      <c r="D24" s="30"/>
      <c r="E24" s="30"/>
      <c r="F24" s="30"/>
      <c r="G24" s="15"/>
    </row>
    <row r="25" spans="1:7" x14ac:dyDescent="0.25">
      <c r="A25" s="4">
        <v>24</v>
      </c>
      <c r="B25" s="5" t="s">
        <v>105</v>
      </c>
      <c r="C25" s="15"/>
      <c r="D25" s="30"/>
      <c r="E25" s="30"/>
      <c r="F25" s="30"/>
      <c r="G25" s="15"/>
    </row>
    <row r="26" spans="1:7" x14ac:dyDescent="0.25">
      <c r="A26" s="4">
        <v>25</v>
      </c>
      <c r="B26" s="5" t="s">
        <v>106</v>
      </c>
      <c r="C26" s="15"/>
      <c r="D26" s="30"/>
      <c r="E26" s="30">
        <v>0.97943181818181824</v>
      </c>
      <c r="F26" s="30">
        <v>0.97750000000000004</v>
      </c>
      <c r="G26" s="15"/>
    </row>
    <row r="27" spans="1:7" x14ac:dyDescent="0.25">
      <c r="A27" s="4">
        <v>26</v>
      </c>
      <c r="B27" s="5" t="s">
        <v>107</v>
      </c>
      <c r="C27" s="15"/>
      <c r="D27" s="30">
        <v>0.96022727272727271</v>
      </c>
      <c r="E27" s="30">
        <v>0.96022727272727271</v>
      </c>
      <c r="F27" s="30">
        <v>0.96022727272727271</v>
      </c>
      <c r="G27" s="15"/>
    </row>
    <row r="28" spans="1:7" x14ac:dyDescent="0.25">
      <c r="A28" s="4">
        <v>27</v>
      </c>
      <c r="B28" s="5" t="s">
        <v>108</v>
      </c>
      <c r="C28" s="15"/>
      <c r="D28" s="30"/>
      <c r="E28" s="30"/>
      <c r="F28" s="30">
        <v>0.97909632034632033</v>
      </c>
      <c r="G28" s="15"/>
    </row>
    <row r="29" spans="1:7" x14ac:dyDescent="0.25">
      <c r="A29" s="4">
        <v>28</v>
      </c>
      <c r="B29" s="5" t="s">
        <v>109</v>
      </c>
      <c r="C29" s="15"/>
      <c r="D29" s="30">
        <v>0.99812499999999993</v>
      </c>
      <c r="E29" s="30">
        <v>0.99812499999999993</v>
      </c>
      <c r="F29" s="30">
        <v>0.99750000000000005</v>
      </c>
      <c r="G29" s="15"/>
    </row>
    <row r="30" spans="1:7" x14ac:dyDescent="0.25">
      <c r="A30" s="4">
        <v>29</v>
      </c>
      <c r="B30" s="5" t="s">
        <v>110</v>
      </c>
      <c r="C30" s="15"/>
      <c r="D30" s="30"/>
      <c r="E30" s="30"/>
      <c r="F30" s="30">
        <v>0.96464575726165513</v>
      </c>
      <c r="G30" s="15"/>
    </row>
    <row r="31" spans="1:7" x14ac:dyDescent="0.25">
      <c r="A31" s="4">
        <v>30</v>
      </c>
      <c r="B31" s="5" t="s">
        <v>111</v>
      </c>
      <c r="C31" s="15"/>
      <c r="D31" s="30"/>
      <c r="E31" s="30">
        <v>0.99818181818181817</v>
      </c>
      <c r="F31" s="30">
        <v>0.99818181818181817</v>
      </c>
      <c r="G31" s="15"/>
    </row>
    <row r="32" spans="1:7" x14ac:dyDescent="0.25">
      <c r="A32" s="4">
        <v>31</v>
      </c>
      <c r="B32" s="5" t="s">
        <v>112</v>
      </c>
      <c r="C32" s="15"/>
      <c r="D32" s="30">
        <v>0.99428549011402856</v>
      </c>
      <c r="E32" s="30">
        <v>0.99374355973428186</v>
      </c>
      <c r="F32" s="30">
        <v>0.99374355973428186</v>
      </c>
      <c r="G32" s="15"/>
    </row>
    <row r="33" spans="1:7" x14ac:dyDescent="0.25">
      <c r="A33" s="4">
        <v>32</v>
      </c>
      <c r="B33" s="5" t="s">
        <v>113</v>
      </c>
      <c r="C33" s="15"/>
      <c r="D33" s="30">
        <v>0.92236976506639434</v>
      </c>
      <c r="E33" s="30">
        <v>0.95727272727272716</v>
      </c>
      <c r="F33" s="30">
        <v>0.98852157943067032</v>
      </c>
      <c r="G33" s="15"/>
    </row>
    <row r="34" spans="1:7" x14ac:dyDescent="0.25">
      <c r="A34" s="4">
        <v>33</v>
      </c>
      <c r="B34" s="5" t="s">
        <v>114</v>
      </c>
      <c r="C34" s="15"/>
      <c r="D34" s="30"/>
      <c r="E34" s="30">
        <v>0.98653624856156508</v>
      </c>
      <c r="F34" s="30">
        <v>0.99326704545454547</v>
      </c>
      <c r="G34" s="15"/>
    </row>
    <row r="35" spans="1:7" x14ac:dyDescent="0.25">
      <c r="A35" s="4">
        <v>34</v>
      </c>
      <c r="B35" s="5" t="s">
        <v>115</v>
      </c>
      <c r="C35" s="15"/>
      <c r="D35" s="30"/>
      <c r="E35" s="30">
        <v>0.99642476985040274</v>
      </c>
      <c r="F35" s="30">
        <v>0.99642476985040274</v>
      </c>
      <c r="G35" s="15"/>
    </row>
    <row r="36" spans="1:7" x14ac:dyDescent="0.25">
      <c r="A36" s="4">
        <v>35</v>
      </c>
      <c r="B36" s="5" t="s">
        <v>116</v>
      </c>
      <c r="C36" s="15"/>
      <c r="D36" s="30"/>
      <c r="E36" s="30"/>
      <c r="F36" s="30"/>
      <c r="G36" s="15"/>
    </row>
    <row r="37" spans="1:7" x14ac:dyDescent="0.25">
      <c r="A37" s="4">
        <v>36</v>
      </c>
      <c r="B37" s="5" t="s">
        <v>117</v>
      </c>
      <c r="C37" s="15"/>
      <c r="D37" s="30"/>
      <c r="E37" s="30"/>
      <c r="F37" s="30"/>
      <c r="G37" s="15"/>
    </row>
    <row r="38" spans="1:7" x14ac:dyDescent="0.25">
      <c r="A38" s="4">
        <v>37</v>
      </c>
      <c r="B38" s="5" t="s">
        <v>118</v>
      </c>
      <c r="C38" s="15"/>
      <c r="D38" s="30"/>
      <c r="E38" s="30"/>
      <c r="F38" s="30"/>
      <c r="G38" s="15"/>
    </row>
    <row r="39" spans="1:7" x14ac:dyDescent="0.25">
      <c r="A39" s="4">
        <v>38</v>
      </c>
      <c r="B39" s="5" t="s">
        <v>119</v>
      </c>
      <c r="C39" s="15"/>
      <c r="D39" s="30">
        <v>0.96374999999999988</v>
      </c>
      <c r="E39" s="30">
        <v>0.96374999999999988</v>
      </c>
      <c r="F39" s="30">
        <v>0.98764204545454537</v>
      </c>
      <c r="G39" s="15"/>
    </row>
    <row r="40" spans="1:7" x14ac:dyDescent="0.25">
      <c r="A40" s="4">
        <v>39</v>
      </c>
      <c r="B40" s="5" t="s">
        <v>120</v>
      </c>
      <c r="C40" s="15"/>
      <c r="D40" s="30"/>
      <c r="E40" s="30"/>
      <c r="F40" s="30">
        <v>0.98821548821548821</v>
      </c>
      <c r="G40" s="15"/>
    </row>
    <row r="41" spans="1:7" x14ac:dyDescent="0.25">
      <c r="A41" s="4">
        <v>40</v>
      </c>
      <c r="B41" s="5" t="s">
        <v>121</v>
      </c>
      <c r="C41" s="15"/>
      <c r="D41" s="30"/>
      <c r="E41" s="30">
        <v>0.97943181818181824</v>
      </c>
      <c r="F41" s="30">
        <v>0.9698426573426574</v>
      </c>
      <c r="G41" s="15"/>
    </row>
    <row r="42" spans="1:7" x14ac:dyDescent="0.25">
      <c r="A42" s="4">
        <v>41</v>
      </c>
      <c r="B42" s="5" t="s">
        <v>122</v>
      </c>
      <c r="C42" s="15"/>
      <c r="D42" s="30">
        <v>0.97562499999999996</v>
      </c>
      <c r="E42" s="30">
        <v>0.97562499999999996</v>
      </c>
      <c r="F42" s="30">
        <v>0.97562499999999996</v>
      </c>
      <c r="G42" s="15"/>
    </row>
    <row r="43" spans="1:7" x14ac:dyDescent="0.25">
      <c r="A43" s="4">
        <v>42</v>
      </c>
      <c r="B43" s="5" t="s">
        <v>123</v>
      </c>
      <c r="C43" s="15"/>
      <c r="D43" s="30"/>
      <c r="E43" s="30"/>
      <c r="F43" s="30"/>
      <c r="G43" s="15"/>
    </row>
    <row r="44" spans="1:7" x14ac:dyDescent="0.25">
      <c r="A44" s="4">
        <v>43</v>
      </c>
      <c r="B44" s="5" t="s">
        <v>124</v>
      </c>
      <c r="C44" s="15"/>
      <c r="D44" s="30"/>
      <c r="E44" s="30">
        <v>0.97178977272727263</v>
      </c>
      <c r="F44" s="30">
        <v>0.98028409090909097</v>
      </c>
      <c r="G44" s="15"/>
    </row>
    <row r="45" spans="1:7" x14ac:dyDescent="0.25">
      <c r="A45" s="4">
        <v>44</v>
      </c>
      <c r="B45" s="5" t="s">
        <v>125</v>
      </c>
      <c r="C45" s="15"/>
      <c r="D45" s="30"/>
      <c r="E45" s="30">
        <v>0.97034090909090909</v>
      </c>
      <c r="F45" s="30">
        <v>0.96539573107724108</v>
      </c>
      <c r="G45" s="15"/>
    </row>
    <row r="46" spans="1:7" x14ac:dyDescent="0.25">
      <c r="A46" s="4">
        <v>45</v>
      </c>
      <c r="B46" s="5" t="s">
        <v>126</v>
      </c>
      <c r="C46" s="15"/>
      <c r="D46" s="30"/>
      <c r="E46" s="30">
        <v>0.9775284090909091</v>
      </c>
      <c r="F46" s="30">
        <v>0.98769886363636361</v>
      </c>
      <c r="G46" s="15"/>
    </row>
    <row r="47" spans="1:7" x14ac:dyDescent="0.25">
      <c r="A47" s="4">
        <v>46</v>
      </c>
      <c r="B47" s="5" t="s">
        <v>127</v>
      </c>
      <c r="C47" s="15"/>
      <c r="D47" s="30"/>
      <c r="E47" s="30">
        <v>0.74963068181818182</v>
      </c>
      <c r="F47" s="30">
        <v>0.74963068181818182</v>
      </c>
      <c r="G47" s="15"/>
    </row>
    <row r="48" spans="1:7" x14ac:dyDescent="0.25">
      <c r="A48" s="4">
        <v>47</v>
      </c>
      <c r="B48" s="5" t="s">
        <v>128</v>
      </c>
      <c r="C48" s="15"/>
      <c r="D48" s="30">
        <v>0.96374999999999988</v>
      </c>
      <c r="E48" s="30">
        <v>0.96374999999999988</v>
      </c>
      <c r="F48" s="30">
        <v>0.96066970938897178</v>
      </c>
      <c r="G48" s="15"/>
    </row>
    <row r="49" spans="1:7" x14ac:dyDescent="0.25">
      <c r="A49" s="4">
        <v>48</v>
      </c>
      <c r="B49" s="5" t="s">
        <v>129</v>
      </c>
      <c r="C49" s="15"/>
      <c r="D49" s="30">
        <v>0.95130681818181806</v>
      </c>
      <c r="E49" s="30">
        <v>0.95130681818181806</v>
      </c>
      <c r="F49" s="30">
        <v>0.98110795454545452</v>
      </c>
      <c r="G49" s="15"/>
    </row>
    <row r="50" spans="1:7" x14ac:dyDescent="0.25">
      <c r="A50" s="4">
        <v>49</v>
      </c>
      <c r="B50" s="5" t="s">
        <v>130</v>
      </c>
      <c r="C50" s="15"/>
      <c r="D50" s="30">
        <v>0.9648863636363636</v>
      </c>
      <c r="E50" s="30">
        <v>0.9648863636363636</v>
      </c>
      <c r="F50" s="30">
        <v>0.9650568181818181</v>
      </c>
      <c r="G50" s="15"/>
    </row>
    <row r="51" spans="1:7" x14ac:dyDescent="0.25">
      <c r="A51" s="4">
        <v>50</v>
      </c>
      <c r="B51" s="5" t="s">
        <v>131</v>
      </c>
      <c r="C51" s="15"/>
      <c r="D51" s="30"/>
      <c r="E51" s="30"/>
      <c r="F51" s="30">
        <v>0.85165456649831639</v>
      </c>
      <c r="G51" s="15"/>
    </row>
    <row r="52" spans="1:7" x14ac:dyDescent="0.25">
      <c r="A52" s="4">
        <v>51</v>
      </c>
      <c r="B52" s="5" t="s">
        <v>132</v>
      </c>
      <c r="C52" s="15"/>
      <c r="D52" s="30"/>
      <c r="E52" s="30"/>
      <c r="F52" s="30"/>
      <c r="G52" s="15"/>
    </row>
    <row r="53" spans="1:7" x14ac:dyDescent="0.25">
      <c r="A53" s="4">
        <v>52</v>
      </c>
      <c r="B53" s="5" t="s">
        <v>133</v>
      </c>
      <c r="C53" s="15"/>
      <c r="D53" s="30"/>
      <c r="E53" s="30"/>
      <c r="F53" s="30"/>
      <c r="G53" s="15"/>
    </row>
    <row r="54" spans="1:7" x14ac:dyDescent="0.25">
      <c r="A54" s="4">
        <v>53</v>
      </c>
      <c r="B54" s="5" t="s">
        <v>134</v>
      </c>
      <c r="C54" s="15"/>
      <c r="D54" s="30">
        <v>0.98363636363636364</v>
      </c>
      <c r="E54" s="30">
        <v>0.98363636363636364</v>
      </c>
      <c r="F54" s="30">
        <v>0.98363636363636364</v>
      </c>
      <c r="G54" s="15"/>
    </row>
    <row r="55" spans="1:7" x14ac:dyDescent="0.25">
      <c r="A55" s="4">
        <v>54</v>
      </c>
      <c r="B55" s="5" t="s">
        <v>135</v>
      </c>
      <c r="C55" s="15"/>
      <c r="D55" s="30"/>
      <c r="E55" s="30">
        <v>0.99818181818181817</v>
      </c>
      <c r="F55" s="30">
        <v>0.99818181818181817</v>
      </c>
      <c r="G55" s="15"/>
    </row>
    <row r="56" spans="1:7" x14ac:dyDescent="0.25">
      <c r="A56" s="4">
        <v>55</v>
      </c>
      <c r="B56" s="5" t="s">
        <v>136</v>
      </c>
      <c r="C56" s="15"/>
      <c r="D56" s="30"/>
      <c r="E56" s="30"/>
      <c r="F56" s="30"/>
      <c r="G56" s="15"/>
    </row>
  </sheetData>
  <sheetProtection password="DF74" sheet="1" objects="1" scenarios="1" selectLockedCells="1" selectUnlockedCells="1"/>
  <printOptions horizontalCentered="1" verticalCentered="1"/>
  <pageMargins left="0.39370078740157483" right="0.39370078740157483" top="0.39370078740157483" bottom="0.39370078740157483" header="0" footer="0.3937007874015748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6"/>
  <sheetViews>
    <sheetView view="pageBreakPreview" zoomScale="85" zoomScaleNormal="100" zoomScaleSheetLayoutView="85" workbookViewId="0">
      <pane xSplit="2" topLeftCell="C1" activePane="topRight" state="frozen"/>
      <selection activeCell="A2" sqref="A2"/>
      <selection pane="topRight" sqref="A1:XFD1048576"/>
    </sheetView>
  </sheetViews>
  <sheetFormatPr defaultRowHeight="15.75" x14ac:dyDescent="0.25"/>
  <cols>
    <col min="1" max="1" width="60.140625" style="1" customWidth="1"/>
    <col min="2" max="2" width="15.85546875" style="1" customWidth="1"/>
    <col min="3" max="3" width="10.85546875" style="3" bestFit="1" customWidth="1"/>
    <col min="4" max="4" width="7.42578125" style="3" bestFit="1" customWidth="1"/>
    <col min="5" max="6" width="6.7109375" style="3" bestFit="1" customWidth="1"/>
    <col min="7" max="7" width="5" style="3" hidden="1" customWidth="1"/>
    <col min="8" max="8" width="6.85546875" style="3" hidden="1" customWidth="1"/>
    <col min="9" max="10" width="5" style="3" hidden="1" customWidth="1"/>
    <col min="11" max="15" width="6.7109375" style="3" bestFit="1" customWidth="1"/>
    <col min="16" max="17" width="5" style="3" hidden="1" customWidth="1"/>
    <col min="18" max="18" width="6.7109375" style="3" bestFit="1" customWidth="1"/>
    <col min="19" max="19" width="5" style="3" hidden="1" customWidth="1"/>
    <col min="20" max="20" width="7" style="3" hidden="1" customWidth="1"/>
    <col min="21" max="25" width="5" style="3" hidden="1" customWidth="1"/>
    <col min="26" max="26" width="7" style="3" hidden="1" customWidth="1"/>
    <col min="27" max="27" width="6.85546875" style="3" hidden="1" customWidth="1"/>
    <col min="28" max="28" width="5" style="3" hidden="1" customWidth="1"/>
    <col min="29" max="29" width="6.7109375" style="3" bestFit="1" customWidth="1"/>
    <col min="30" max="30" width="5" style="3" hidden="1" customWidth="1"/>
    <col min="31" max="31" width="6.7109375" style="3" bestFit="1" customWidth="1"/>
    <col min="32" max="33" width="5" style="3" hidden="1" customWidth="1"/>
    <col min="34" max="35" width="6.7109375" style="3" bestFit="1" customWidth="1"/>
    <col min="36" max="40" width="5" style="3" hidden="1" customWidth="1"/>
    <col min="41" max="41" width="6.7109375" style="3" bestFit="1" customWidth="1"/>
    <col min="42" max="43" width="5" style="3" hidden="1" customWidth="1"/>
    <col min="44" max="44" width="6.7109375" style="3" bestFit="1" customWidth="1"/>
    <col min="45" max="49" width="5" style="3" hidden="1" customWidth="1"/>
    <col min="50" max="52" width="6.7109375" style="3" bestFit="1" customWidth="1"/>
    <col min="53" max="55" width="5" style="3" hidden="1" customWidth="1"/>
    <col min="56" max="56" width="6.7109375" style="3" bestFit="1" customWidth="1"/>
    <col min="57" max="58" width="5" style="3" hidden="1" customWidth="1"/>
    <col min="59" max="16384" width="9.140625" style="1"/>
  </cols>
  <sheetData>
    <row r="1" spans="1:58" ht="140.25" customHeight="1" x14ac:dyDescent="0.25">
      <c r="A1" s="53" t="s">
        <v>197</v>
      </c>
      <c r="B1" s="54"/>
      <c r="C1" s="21" t="s">
        <v>194</v>
      </c>
      <c r="D1" s="20" t="s">
        <v>164</v>
      </c>
      <c r="E1" s="20" t="s">
        <v>184</v>
      </c>
      <c r="F1" s="20" t="s">
        <v>165</v>
      </c>
      <c r="G1" s="20" t="s">
        <v>166</v>
      </c>
      <c r="H1" s="20" t="s">
        <v>86</v>
      </c>
      <c r="I1" s="20" t="s">
        <v>185</v>
      </c>
      <c r="J1" s="20" t="s">
        <v>187</v>
      </c>
      <c r="K1" s="20" t="s">
        <v>167</v>
      </c>
      <c r="L1" s="20" t="s">
        <v>168</v>
      </c>
      <c r="M1" s="20" t="s">
        <v>169</v>
      </c>
      <c r="N1" s="20" t="s">
        <v>170</v>
      </c>
      <c r="O1" s="20" t="s">
        <v>171</v>
      </c>
      <c r="P1" s="20" t="s">
        <v>186</v>
      </c>
      <c r="Q1" s="20" t="s">
        <v>174</v>
      </c>
      <c r="R1" s="20" t="s">
        <v>172</v>
      </c>
      <c r="S1" s="20" t="s">
        <v>173</v>
      </c>
      <c r="T1" s="20" t="s">
        <v>175</v>
      </c>
      <c r="U1" s="20" t="s">
        <v>176</v>
      </c>
      <c r="V1" s="20" t="s">
        <v>177</v>
      </c>
      <c r="W1" s="20" t="s">
        <v>189</v>
      </c>
      <c r="X1" s="20" t="s">
        <v>188</v>
      </c>
      <c r="Y1" s="20" t="s">
        <v>190</v>
      </c>
      <c r="Z1" s="20" t="s">
        <v>191</v>
      </c>
      <c r="AA1" s="20" t="s">
        <v>192</v>
      </c>
      <c r="AB1" s="20" t="s">
        <v>142</v>
      </c>
      <c r="AC1" s="20" t="s">
        <v>143</v>
      </c>
      <c r="AD1" s="20" t="s">
        <v>144</v>
      </c>
      <c r="AE1" s="20" t="s">
        <v>139</v>
      </c>
      <c r="AF1" s="20" t="s">
        <v>153</v>
      </c>
      <c r="AG1" s="20" t="s">
        <v>179</v>
      </c>
      <c r="AH1" s="20" t="s">
        <v>145</v>
      </c>
      <c r="AI1" s="20" t="s">
        <v>154</v>
      </c>
      <c r="AJ1" s="20" t="s">
        <v>155</v>
      </c>
      <c r="AK1" s="20" t="s">
        <v>178</v>
      </c>
      <c r="AL1" s="20" t="s">
        <v>180</v>
      </c>
      <c r="AM1" s="20" t="s">
        <v>156</v>
      </c>
      <c r="AN1" s="20" t="s">
        <v>163</v>
      </c>
      <c r="AO1" s="20" t="s">
        <v>140</v>
      </c>
      <c r="AP1" s="20" t="s">
        <v>157</v>
      </c>
      <c r="AQ1" s="20" t="s">
        <v>181</v>
      </c>
      <c r="AR1" s="20" t="s">
        <v>146</v>
      </c>
      <c r="AS1" s="20" t="s">
        <v>147</v>
      </c>
      <c r="AT1" s="20" t="s">
        <v>148</v>
      </c>
      <c r="AU1" s="20" t="s">
        <v>182</v>
      </c>
      <c r="AV1" s="20" t="s">
        <v>149</v>
      </c>
      <c r="AW1" s="20" t="s">
        <v>150</v>
      </c>
      <c r="AX1" s="20" t="s">
        <v>151</v>
      </c>
      <c r="AY1" s="20" t="s">
        <v>152</v>
      </c>
      <c r="AZ1" s="20" t="s">
        <v>183</v>
      </c>
      <c r="BA1" s="20" t="s">
        <v>141</v>
      </c>
      <c r="BB1" s="20" t="s">
        <v>158</v>
      </c>
      <c r="BC1" s="20" t="s">
        <v>159</v>
      </c>
      <c r="BD1" s="20" t="s">
        <v>160</v>
      </c>
      <c r="BE1" s="20" t="s">
        <v>161</v>
      </c>
      <c r="BF1" s="20" t="s">
        <v>162</v>
      </c>
    </row>
    <row r="2" spans="1:58" ht="20.25" x14ac:dyDescent="0.3">
      <c r="A2" s="57" t="s">
        <v>78</v>
      </c>
      <c r="B2" s="57"/>
      <c r="C2" s="11">
        <f>C4+C30</f>
        <v>1580</v>
      </c>
      <c r="D2" s="24">
        <f>(D5+D31)/2</f>
        <v>0.96715909090909102</v>
      </c>
      <c r="E2" s="24">
        <f t="shared" ref="E2:AZ2" si="0">(E5+E31)/2</f>
        <v>0.73909090909090902</v>
      </c>
      <c r="F2" s="24">
        <f t="shared" si="0"/>
        <v>0.99696746880570419</v>
      </c>
      <c r="G2" s="24"/>
      <c r="H2" s="24"/>
      <c r="I2" s="24"/>
      <c r="J2" s="24"/>
      <c r="K2" s="24">
        <f t="shared" si="0"/>
        <v>0.76988636363636365</v>
      </c>
      <c r="L2" s="24">
        <f>L31</f>
        <v>0.98750000000000004</v>
      </c>
      <c r="M2" s="24">
        <f t="shared" ref="M2:O2" si="1">M31</f>
        <v>0.99</v>
      </c>
      <c r="N2" s="24">
        <f t="shared" si="1"/>
        <v>0.78625</v>
      </c>
      <c r="O2" s="24">
        <f t="shared" si="1"/>
        <v>0.80125000000000002</v>
      </c>
      <c r="P2" s="24"/>
      <c r="Q2" s="24"/>
      <c r="R2" s="24">
        <f>R31</f>
        <v>0.77749999999999997</v>
      </c>
      <c r="S2" s="24"/>
      <c r="T2" s="24"/>
      <c r="U2" s="24"/>
      <c r="V2" s="24"/>
      <c r="W2" s="24"/>
      <c r="X2" s="24"/>
      <c r="Y2" s="24"/>
      <c r="Z2" s="24"/>
      <c r="AA2" s="24"/>
      <c r="AB2" s="24"/>
      <c r="AC2" s="24">
        <f t="shared" si="0"/>
        <v>0.96022727272727271</v>
      </c>
      <c r="AD2" s="24"/>
      <c r="AE2" s="24">
        <f t="shared" si="0"/>
        <v>0.99812499999999993</v>
      </c>
      <c r="AF2" s="24"/>
      <c r="AG2" s="24"/>
      <c r="AH2" s="24">
        <f t="shared" si="0"/>
        <v>0.99428549011402856</v>
      </c>
      <c r="AI2" s="24">
        <f>AI5</f>
        <v>0.92236976506639434</v>
      </c>
      <c r="AJ2" s="24"/>
      <c r="AK2" s="24"/>
      <c r="AL2" s="24"/>
      <c r="AM2" s="24"/>
      <c r="AN2" s="24"/>
      <c r="AO2" s="24">
        <f t="shared" si="0"/>
        <v>0.96374999999999988</v>
      </c>
      <c r="AP2" s="24"/>
      <c r="AQ2" s="24"/>
      <c r="AR2" s="24">
        <f t="shared" si="0"/>
        <v>0.97562499999999996</v>
      </c>
      <c r="AS2" s="24"/>
      <c r="AT2" s="24"/>
      <c r="AU2" s="24"/>
      <c r="AV2" s="24"/>
      <c r="AW2" s="24"/>
      <c r="AX2" s="24">
        <f t="shared" si="0"/>
        <v>0.96374999999999988</v>
      </c>
      <c r="AY2" s="24">
        <f t="shared" si="0"/>
        <v>0.95130681818181806</v>
      </c>
      <c r="AZ2" s="24">
        <f t="shared" si="0"/>
        <v>0.9648863636363636</v>
      </c>
      <c r="BA2" s="24"/>
      <c r="BB2" s="24"/>
      <c r="BC2" s="24"/>
      <c r="BD2" s="24">
        <f>BD5</f>
        <v>0.98363636363636364</v>
      </c>
      <c r="BE2" s="24"/>
      <c r="BF2" s="24"/>
    </row>
    <row r="3" spans="1:58" ht="18.75" x14ac:dyDescent="0.25">
      <c r="A3" s="55" t="s">
        <v>39</v>
      </c>
      <c r="B3" s="5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</row>
    <row r="4" spans="1:58" x14ac:dyDescent="0.25">
      <c r="A4" s="56" t="s">
        <v>77</v>
      </c>
      <c r="B4" s="56"/>
      <c r="C4" s="11">
        <f>SUM(D4:BF4)</f>
        <v>711</v>
      </c>
      <c r="D4" s="11">
        <v>50</v>
      </c>
      <c r="E4" s="11">
        <v>50</v>
      </c>
      <c r="F4" s="11">
        <v>51</v>
      </c>
      <c r="G4" s="11"/>
      <c r="H4" s="11"/>
      <c r="I4" s="11"/>
      <c r="J4" s="11"/>
      <c r="K4" s="11">
        <v>20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>
        <v>50</v>
      </c>
      <c r="AD4" s="11"/>
      <c r="AE4" s="11">
        <v>50</v>
      </c>
      <c r="AF4" s="11"/>
      <c r="AG4" s="11"/>
      <c r="AH4" s="11">
        <v>49</v>
      </c>
      <c r="AI4" s="11">
        <v>89</v>
      </c>
      <c r="AJ4" s="11"/>
      <c r="AK4" s="11"/>
      <c r="AL4" s="11"/>
      <c r="AM4" s="11"/>
      <c r="AN4" s="11"/>
      <c r="AO4" s="11">
        <v>50</v>
      </c>
      <c r="AP4" s="11"/>
      <c r="AQ4" s="11"/>
      <c r="AR4" s="11">
        <v>50</v>
      </c>
      <c r="AS4" s="11"/>
      <c r="AT4" s="11"/>
      <c r="AU4" s="11"/>
      <c r="AV4" s="11"/>
      <c r="AW4" s="11"/>
      <c r="AX4" s="11">
        <v>52</v>
      </c>
      <c r="AY4" s="11">
        <v>50</v>
      </c>
      <c r="AZ4" s="11">
        <v>50</v>
      </c>
      <c r="BA4" s="11"/>
      <c r="BB4" s="11"/>
      <c r="BC4" s="11"/>
      <c r="BD4" s="11">
        <v>50</v>
      </c>
      <c r="BE4" s="11"/>
      <c r="BF4" s="11"/>
    </row>
    <row r="5" spans="1:58" ht="63" x14ac:dyDescent="0.25">
      <c r="A5" s="27" t="s">
        <v>0</v>
      </c>
      <c r="B5" s="27" t="s">
        <v>1</v>
      </c>
      <c r="C5" s="11"/>
      <c r="D5" s="25">
        <f>(SUM(D11:D13)+SUM(D21:D27)+D15+(IF(D9=5,100%,0%)+(IF(D8=5,100%,0%))))/11</f>
        <v>0.98181818181818192</v>
      </c>
      <c r="E5" s="25">
        <f>(SUM(E11:E13)+SUM(E21:E27)+E15+(IF(E9=5,100%,0%)+(IF(E8=5,100%,0%))))/11</f>
        <v>0.69818181818181813</v>
      </c>
      <c r="F5" s="24">
        <f>(SUM(F11:F13)+SUM(F21:F27)+F15+(IF(F9=5,100%,0%)+(IF(F8=5,100%,0%))))/11</f>
        <v>0.99643493761140822</v>
      </c>
      <c r="G5" s="24"/>
      <c r="H5" s="24"/>
      <c r="I5" s="24"/>
      <c r="J5" s="24"/>
      <c r="K5" s="24">
        <f t="shared" ref="K5:BD5" si="2">(SUM(K11:K13)+SUM(K21:K27)+K15+(IF(K9=5,100%,0%)+(IF(K8=5,100%,0%))))/11</f>
        <v>0.72727272727272729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>
        <f t="shared" si="2"/>
        <v>0.94545454545454544</v>
      </c>
      <c r="AD5" s="24"/>
      <c r="AE5" s="24">
        <f t="shared" si="2"/>
        <v>1</v>
      </c>
      <c r="AF5" s="24"/>
      <c r="AG5" s="24"/>
      <c r="AH5" s="24">
        <f t="shared" si="2"/>
        <v>0.99173553719008256</v>
      </c>
      <c r="AI5" s="24">
        <f t="shared" si="2"/>
        <v>0.92236976506639434</v>
      </c>
      <c r="AJ5" s="24"/>
      <c r="AK5" s="24"/>
      <c r="AL5" s="24"/>
      <c r="AM5" s="24"/>
      <c r="AN5" s="24"/>
      <c r="AO5" s="24">
        <f t="shared" si="2"/>
        <v>0.95999999999999985</v>
      </c>
      <c r="AP5" s="24"/>
      <c r="AQ5" s="24"/>
      <c r="AR5" s="24">
        <f t="shared" si="2"/>
        <v>0.95999999999999985</v>
      </c>
      <c r="AS5" s="24"/>
      <c r="AT5" s="24"/>
      <c r="AU5" s="24"/>
      <c r="AV5" s="24"/>
      <c r="AW5" s="24"/>
      <c r="AX5" s="24">
        <f t="shared" si="2"/>
        <v>0.95999999999999985</v>
      </c>
      <c r="AY5" s="24">
        <f t="shared" si="2"/>
        <v>0.93636363636363629</v>
      </c>
      <c r="AZ5" s="24">
        <f t="shared" si="2"/>
        <v>0.96727272727272717</v>
      </c>
      <c r="BA5" s="24"/>
      <c r="BB5" s="24"/>
      <c r="BC5" s="24"/>
      <c r="BD5" s="24">
        <f t="shared" si="2"/>
        <v>0.98363636363636364</v>
      </c>
      <c r="BE5" s="24"/>
      <c r="BF5" s="24"/>
    </row>
    <row r="6" spans="1:58" x14ac:dyDescent="0.25">
      <c r="A6" s="52" t="s">
        <v>2</v>
      </c>
      <c r="B6" s="5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x14ac:dyDescent="0.25">
      <c r="A7" s="28" t="s">
        <v>3</v>
      </c>
      <c r="B7" s="27"/>
      <c r="C7" s="11"/>
      <c r="D7" s="11">
        <v>0</v>
      </c>
      <c r="E7" s="11">
        <v>0</v>
      </c>
      <c r="F7" s="11">
        <v>0</v>
      </c>
      <c r="G7" s="11"/>
      <c r="H7" s="11"/>
      <c r="I7" s="11"/>
      <c r="J7" s="11"/>
      <c r="K7" s="11">
        <v>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>
        <v>0</v>
      </c>
      <c r="AD7" s="11"/>
      <c r="AE7" s="11">
        <v>0</v>
      </c>
      <c r="AF7" s="11"/>
      <c r="AG7" s="11"/>
      <c r="AH7" s="26">
        <v>0</v>
      </c>
      <c r="AI7" s="11">
        <v>0</v>
      </c>
      <c r="AJ7" s="11"/>
      <c r="AK7" s="11"/>
      <c r="AL7" s="11"/>
      <c r="AM7" s="11"/>
      <c r="AN7" s="11"/>
      <c r="AO7" s="11">
        <v>0</v>
      </c>
      <c r="AP7" s="11"/>
      <c r="AQ7" s="11"/>
      <c r="AR7" s="11">
        <v>0</v>
      </c>
      <c r="AS7" s="11"/>
      <c r="AT7" s="11"/>
      <c r="AU7" s="11"/>
      <c r="AV7" s="11"/>
      <c r="AW7" s="11"/>
      <c r="AX7" s="11">
        <v>0</v>
      </c>
      <c r="AY7" s="11">
        <v>0</v>
      </c>
      <c r="AZ7" s="11">
        <v>0</v>
      </c>
      <c r="BA7" s="11"/>
      <c r="BB7" s="11"/>
      <c r="BC7" s="11"/>
      <c r="BD7" s="11">
        <v>0</v>
      </c>
      <c r="BE7" s="11"/>
      <c r="BF7" s="11"/>
    </row>
    <row r="8" spans="1:58" ht="47.25" x14ac:dyDescent="0.25">
      <c r="A8" s="2" t="s">
        <v>4</v>
      </c>
      <c r="B8" s="27" t="s">
        <v>5</v>
      </c>
      <c r="C8" s="11"/>
      <c r="D8" s="11">
        <v>5</v>
      </c>
      <c r="E8" s="11">
        <v>0</v>
      </c>
      <c r="F8" s="11">
        <v>5</v>
      </c>
      <c r="G8" s="11"/>
      <c r="H8" s="11"/>
      <c r="I8" s="11"/>
      <c r="J8" s="11"/>
      <c r="K8" s="11">
        <v>0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>
        <v>5</v>
      </c>
      <c r="AD8" s="11"/>
      <c r="AE8" s="11">
        <v>5</v>
      </c>
      <c r="AF8" s="11"/>
      <c r="AG8" s="11"/>
      <c r="AH8" s="11">
        <v>5</v>
      </c>
      <c r="AI8" s="11">
        <v>5</v>
      </c>
      <c r="AJ8" s="11"/>
      <c r="AK8" s="11"/>
      <c r="AL8" s="11"/>
      <c r="AM8" s="11"/>
      <c r="AN8" s="11"/>
      <c r="AO8" s="11">
        <v>5</v>
      </c>
      <c r="AP8" s="11"/>
      <c r="AQ8" s="11"/>
      <c r="AR8" s="11">
        <v>5</v>
      </c>
      <c r="AS8" s="11"/>
      <c r="AT8" s="11"/>
      <c r="AU8" s="11"/>
      <c r="AV8" s="11"/>
      <c r="AW8" s="11"/>
      <c r="AX8" s="11">
        <v>5</v>
      </c>
      <c r="AY8" s="11">
        <v>5</v>
      </c>
      <c r="AZ8" s="11">
        <v>5</v>
      </c>
      <c r="BA8" s="11"/>
      <c r="BB8" s="11"/>
      <c r="BC8" s="11"/>
      <c r="BD8" s="11">
        <v>5</v>
      </c>
      <c r="BE8" s="11"/>
      <c r="BF8" s="11"/>
    </row>
    <row r="9" spans="1:58" ht="31.5" x14ac:dyDescent="0.25">
      <c r="A9" s="29" t="s">
        <v>6</v>
      </c>
      <c r="B9" s="27" t="s">
        <v>5</v>
      </c>
      <c r="C9" s="11"/>
      <c r="D9" s="11">
        <v>5</v>
      </c>
      <c r="E9" s="11">
        <v>0</v>
      </c>
      <c r="F9" s="11">
        <v>5</v>
      </c>
      <c r="G9" s="11"/>
      <c r="H9" s="11"/>
      <c r="I9" s="11"/>
      <c r="J9" s="11"/>
      <c r="K9" s="11">
        <v>0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>
        <v>5</v>
      </c>
      <c r="AD9" s="11"/>
      <c r="AE9" s="11">
        <v>5</v>
      </c>
      <c r="AF9" s="11"/>
      <c r="AG9" s="11"/>
      <c r="AH9" s="11">
        <v>5</v>
      </c>
      <c r="AI9" s="11">
        <v>5</v>
      </c>
      <c r="AJ9" s="11"/>
      <c r="AK9" s="11"/>
      <c r="AL9" s="11"/>
      <c r="AM9" s="11"/>
      <c r="AN9" s="11"/>
      <c r="AO9" s="11">
        <v>5</v>
      </c>
      <c r="AP9" s="11"/>
      <c r="AQ9" s="11"/>
      <c r="AR9" s="11">
        <v>5</v>
      </c>
      <c r="AS9" s="11"/>
      <c r="AT9" s="11"/>
      <c r="AU9" s="11"/>
      <c r="AV9" s="11"/>
      <c r="AW9" s="11"/>
      <c r="AX9" s="11">
        <v>5</v>
      </c>
      <c r="AY9" s="11">
        <v>5</v>
      </c>
      <c r="AZ9" s="11">
        <v>5</v>
      </c>
      <c r="BA9" s="11"/>
      <c r="BB9" s="11"/>
      <c r="BC9" s="11"/>
      <c r="BD9" s="11">
        <v>5</v>
      </c>
      <c r="BE9" s="11"/>
      <c r="BF9" s="11"/>
    </row>
    <row r="10" spans="1:58" ht="63" x14ac:dyDescent="0.25">
      <c r="A10" s="2" t="s">
        <v>7</v>
      </c>
      <c r="B10" s="27" t="s">
        <v>8</v>
      </c>
      <c r="C10" s="11"/>
      <c r="D10" s="13">
        <f>SUM(D11:D13,D15,D21:D27)/9</f>
        <v>0.97777777777777786</v>
      </c>
      <c r="E10" s="13">
        <f t="shared" ref="E10:F10" si="3">SUM(E11:E13,E15,E21:E27)/9</f>
        <v>0.85333333333333328</v>
      </c>
      <c r="F10" s="13">
        <f t="shared" si="3"/>
        <v>0.99564270152505452</v>
      </c>
      <c r="G10" s="13"/>
      <c r="H10" s="13"/>
      <c r="I10" s="13"/>
      <c r="J10" s="13"/>
      <c r="K10" s="13">
        <f t="shared" ref="K10" si="4">SUM(K11:K13,K15,K21:K27)/9</f>
        <v>0.88888888888888884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>
        <f t="shared" ref="AC10" si="5">SUM(AC11:AC13,AC15,AC21:AC27)/9</f>
        <v>0.93333333333333335</v>
      </c>
      <c r="AD10" s="13"/>
      <c r="AE10" s="13">
        <f t="shared" ref="AE10" si="6">SUM(AE11:AE13,AE15,AE21:AE27)/9</f>
        <v>1</v>
      </c>
      <c r="AF10" s="13"/>
      <c r="AG10" s="13"/>
      <c r="AH10" s="13">
        <f t="shared" ref="AH10" si="7">SUM(AH11:AH13,AH15,AH21:AH27)/9</f>
        <v>0.98989898989899006</v>
      </c>
      <c r="AI10" s="13">
        <f t="shared" ref="AI10" si="8">SUM(AI11:AI13,AI15,AI21:AI27)/9</f>
        <v>0.90511860174781533</v>
      </c>
      <c r="AJ10" s="13"/>
      <c r="AK10" s="13"/>
      <c r="AL10" s="13"/>
      <c r="AM10" s="13"/>
      <c r="AN10" s="13"/>
      <c r="AO10" s="13">
        <f t="shared" ref="AO10" si="9">SUM(AO11:AO13,AO15,AO21:AO27)/9</f>
        <v>0.95111111111111113</v>
      </c>
      <c r="AP10" s="13"/>
      <c r="AQ10" s="13"/>
      <c r="AR10" s="13">
        <f t="shared" ref="AR10" si="10">SUM(AR11:AR13,AR15,AR21:AR27)/9</f>
        <v>0.95111111111111113</v>
      </c>
      <c r="AS10" s="13"/>
      <c r="AT10" s="13"/>
      <c r="AU10" s="13"/>
      <c r="AV10" s="13"/>
      <c r="AW10" s="13"/>
      <c r="AX10" s="13">
        <f t="shared" ref="AX10" si="11">SUM(AX11:AX13,AX15,AX21:AX27)/9</f>
        <v>0.95111111111111113</v>
      </c>
      <c r="AY10" s="13">
        <f t="shared" ref="AY10" si="12">SUM(AY11:AY13,AY15,AY21:AY27)/9</f>
        <v>0.92222222222222205</v>
      </c>
      <c r="AZ10" s="13">
        <f t="shared" ref="AZ10" si="13">SUM(AZ11:AZ13,AZ15,AZ21:AZ27)/9</f>
        <v>0.95999999999999985</v>
      </c>
      <c r="BA10" s="13"/>
      <c r="BB10" s="13"/>
      <c r="BC10" s="13"/>
      <c r="BD10" s="13">
        <f t="shared" ref="BD10" si="14">SUM(BD11:BD13,BD15,BD21:BD27)/9</f>
        <v>0.98</v>
      </c>
      <c r="BE10" s="13"/>
      <c r="BF10" s="13"/>
    </row>
    <row r="11" spans="1:58" ht="47.25" x14ac:dyDescent="0.25">
      <c r="A11" s="29" t="s">
        <v>9</v>
      </c>
      <c r="B11" s="27" t="s">
        <v>10</v>
      </c>
      <c r="C11" s="11"/>
      <c r="D11" s="14">
        <v>0.92</v>
      </c>
      <c r="E11" s="14">
        <v>0</v>
      </c>
      <c r="F11" s="13">
        <f>49/51</f>
        <v>0.96078431372549022</v>
      </c>
      <c r="G11" s="11"/>
      <c r="H11" s="11"/>
      <c r="I11" s="11"/>
      <c r="J11" s="11"/>
      <c r="K11" s="14">
        <v>0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4">
        <v>1</v>
      </c>
      <c r="AD11" s="11"/>
      <c r="AE11" s="14">
        <v>1</v>
      </c>
      <c r="AF11" s="11"/>
      <c r="AG11" s="11"/>
      <c r="AH11" s="13">
        <v>1</v>
      </c>
      <c r="AI11" s="13">
        <f>75/89</f>
        <v>0.84269662921348309</v>
      </c>
      <c r="AJ11" s="11"/>
      <c r="AK11" s="11"/>
      <c r="AL11" s="11"/>
      <c r="AM11" s="11"/>
      <c r="AN11" s="11"/>
      <c r="AO11" s="14">
        <f>46/50</f>
        <v>0.92</v>
      </c>
      <c r="AP11" s="11"/>
      <c r="AQ11" s="11"/>
      <c r="AR11" s="14">
        <f>46/50</f>
        <v>0.92</v>
      </c>
      <c r="AS11" s="11"/>
      <c r="AT11" s="11"/>
      <c r="AU11" s="11"/>
      <c r="AV11" s="11"/>
      <c r="AW11" s="11"/>
      <c r="AX11" s="14">
        <f>46/50</f>
        <v>0.92</v>
      </c>
      <c r="AY11" s="14">
        <v>0.94</v>
      </c>
      <c r="AZ11" s="14">
        <v>0.92</v>
      </c>
      <c r="BA11" s="11"/>
      <c r="BB11" s="11"/>
      <c r="BC11" s="11"/>
      <c r="BD11" s="14">
        <v>1</v>
      </c>
      <c r="BE11" s="11"/>
      <c r="BF11" s="11"/>
    </row>
    <row r="12" spans="1:58" ht="33.75" customHeight="1" x14ac:dyDescent="0.25">
      <c r="A12" s="52" t="s">
        <v>38</v>
      </c>
      <c r="B12" s="52"/>
      <c r="C12" s="12"/>
      <c r="D12" s="12"/>
      <c r="E12" s="12"/>
      <c r="F12" s="2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ht="31.5" x14ac:dyDescent="0.25">
      <c r="A13" s="2" t="s">
        <v>11</v>
      </c>
      <c r="B13" s="27" t="s">
        <v>12</v>
      </c>
      <c r="C13" s="11"/>
      <c r="D13" s="14">
        <v>0.92</v>
      </c>
      <c r="E13" s="14">
        <v>1</v>
      </c>
      <c r="F13" s="14">
        <v>1</v>
      </c>
      <c r="G13" s="11"/>
      <c r="H13" s="11"/>
      <c r="I13" s="11"/>
      <c r="J13" s="11"/>
      <c r="K13" s="14">
        <v>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4">
        <v>1</v>
      </c>
      <c r="AD13" s="11"/>
      <c r="AE13" s="14">
        <v>1</v>
      </c>
      <c r="AF13" s="11"/>
      <c r="AG13" s="11"/>
      <c r="AH13" s="13">
        <v>1</v>
      </c>
      <c r="AI13" s="13">
        <f>86/89</f>
        <v>0.9662921348314607</v>
      </c>
      <c r="AJ13" s="11"/>
      <c r="AK13" s="11"/>
      <c r="AL13" s="11"/>
      <c r="AM13" s="11"/>
      <c r="AN13" s="11"/>
      <c r="AO13" s="14">
        <v>1</v>
      </c>
      <c r="AP13" s="11"/>
      <c r="AQ13" s="11"/>
      <c r="AR13" s="14">
        <v>1</v>
      </c>
      <c r="AS13" s="11"/>
      <c r="AT13" s="11"/>
      <c r="AU13" s="11"/>
      <c r="AV13" s="11"/>
      <c r="AW13" s="11"/>
      <c r="AX13" s="14">
        <v>1</v>
      </c>
      <c r="AY13" s="14">
        <v>1</v>
      </c>
      <c r="AZ13" s="14">
        <v>1</v>
      </c>
      <c r="BA13" s="11"/>
      <c r="BB13" s="11"/>
      <c r="BC13" s="11"/>
      <c r="BD13" s="14">
        <v>1</v>
      </c>
      <c r="BE13" s="11"/>
      <c r="BF13" s="11"/>
    </row>
    <row r="14" spans="1:58" ht="31.5" x14ac:dyDescent="0.25">
      <c r="A14" s="29" t="s">
        <v>13</v>
      </c>
      <c r="B14" s="27" t="s">
        <v>14</v>
      </c>
      <c r="C14" s="11"/>
      <c r="D14" s="11">
        <v>12</v>
      </c>
      <c r="E14" s="11">
        <v>24</v>
      </c>
      <c r="F14" s="23">
        <v>9</v>
      </c>
      <c r="G14" s="11"/>
      <c r="H14" s="11"/>
      <c r="I14" s="11"/>
      <c r="J14" s="11"/>
      <c r="K14" s="11">
        <v>0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>
        <v>2</v>
      </c>
      <c r="AD14" s="11"/>
      <c r="AE14" s="11">
        <v>1</v>
      </c>
      <c r="AF14" s="11"/>
      <c r="AG14" s="11"/>
      <c r="AH14" s="11">
        <v>1</v>
      </c>
      <c r="AI14" s="11">
        <v>3</v>
      </c>
      <c r="AJ14" s="11"/>
      <c r="AK14" s="11"/>
      <c r="AL14" s="11"/>
      <c r="AM14" s="11"/>
      <c r="AN14" s="11"/>
      <c r="AO14" s="11">
        <v>3</v>
      </c>
      <c r="AP14" s="11"/>
      <c r="AQ14" s="11"/>
      <c r="AR14" s="11">
        <v>3</v>
      </c>
      <c r="AS14" s="11"/>
      <c r="AT14" s="11"/>
      <c r="AU14" s="11"/>
      <c r="AV14" s="11"/>
      <c r="AW14" s="11"/>
      <c r="AX14" s="11">
        <v>3</v>
      </c>
      <c r="AY14" s="11">
        <v>3</v>
      </c>
      <c r="AZ14" s="11">
        <v>2</v>
      </c>
      <c r="BA14" s="11"/>
      <c r="BB14" s="11"/>
      <c r="BC14" s="11"/>
      <c r="BD14" s="17">
        <v>0</v>
      </c>
      <c r="BE14" s="11"/>
      <c r="BF14" s="11"/>
    </row>
    <row r="15" spans="1:58" ht="47.25" x14ac:dyDescent="0.25">
      <c r="A15" s="29" t="s">
        <v>15</v>
      </c>
      <c r="B15" s="27" t="s">
        <v>16</v>
      </c>
      <c r="C15" s="11"/>
      <c r="D15" s="14">
        <v>1</v>
      </c>
      <c r="E15" s="14">
        <v>0.74</v>
      </c>
      <c r="F15" s="14">
        <v>1</v>
      </c>
      <c r="G15" s="11"/>
      <c r="H15" s="11"/>
      <c r="I15" s="11"/>
      <c r="J15" s="11"/>
      <c r="K15" s="14">
        <v>1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4">
        <v>1</v>
      </c>
      <c r="AD15" s="11"/>
      <c r="AE15" s="14">
        <v>1</v>
      </c>
      <c r="AF15" s="11"/>
      <c r="AG15" s="11"/>
      <c r="AH15" s="13">
        <f>10/11</f>
        <v>0.90909090909090906</v>
      </c>
      <c r="AI15" s="13">
        <f>81/89</f>
        <v>0.9101123595505618</v>
      </c>
      <c r="AJ15" s="11"/>
      <c r="AK15" s="11"/>
      <c r="AL15" s="11"/>
      <c r="AM15" s="11"/>
      <c r="AN15" s="11"/>
      <c r="AO15" s="13">
        <f>43/50</f>
        <v>0.86</v>
      </c>
      <c r="AP15" s="11"/>
      <c r="AQ15" s="11"/>
      <c r="AR15" s="13">
        <f>43/50</f>
        <v>0.86</v>
      </c>
      <c r="AS15" s="11"/>
      <c r="AT15" s="11"/>
      <c r="AU15" s="11"/>
      <c r="AV15" s="11"/>
      <c r="AW15" s="11"/>
      <c r="AX15" s="13">
        <f>43/50</f>
        <v>0.86</v>
      </c>
      <c r="AY15" s="14">
        <v>0.82</v>
      </c>
      <c r="AZ15" s="14">
        <v>0.84</v>
      </c>
      <c r="BA15" s="11"/>
      <c r="BB15" s="11"/>
      <c r="BC15" s="11"/>
      <c r="BD15" s="14">
        <v>0.84</v>
      </c>
      <c r="BE15" s="11"/>
      <c r="BF15" s="11"/>
    </row>
    <row r="16" spans="1:58" ht="16.5" customHeight="1" x14ac:dyDescent="0.25">
      <c r="A16" s="52" t="s">
        <v>17</v>
      </c>
      <c r="B16" s="5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x14ac:dyDescent="0.25">
      <c r="A17" s="29" t="s">
        <v>18</v>
      </c>
      <c r="B17" s="27" t="s">
        <v>19</v>
      </c>
      <c r="C17" s="11"/>
      <c r="D17" s="11">
        <v>25</v>
      </c>
      <c r="E17" s="11">
        <v>20</v>
      </c>
      <c r="F17" s="11">
        <v>12</v>
      </c>
      <c r="G17" s="11"/>
      <c r="H17" s="11"/>
      <c r="I17" s="11"/>
      <c r="J17" s="11"/>
      <c r="K17" s="11">
        <v>10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>
        <v>5</v>
      </c>
      <c r="AD17" s="11"/>
      <c r="AE17" s="11">
        <v>9</v>
      </c>
      <c r="AF17" s="11"/>
      <c r="AG17" s="11"/>
      <c r="AH17" s="11">
        <v>10</v>
      </c>
      <c r="AI17" s="11">
        <v>12</v>
      </c>
      <c r="AJ17" s="11"/>
      <c r="AK17" s="11"/>
      <c r="AL17" s="11"/>
      <c r="AM17" s="11"/>
      <c r="AN17" s="11"/>
      <c r="AO17" s="11">
        <v>11</v>
      </c>
      <c r="AP17" s="11"/>
      <c r="AQ17" s="11"/>
      <c r="AR17" s="11">
        <v>11</v>
      </c>
      <c r="AS17" s="11"/>
      <c r="AT17" s="11"/>
      <c r="AU17" s="11"/>
      <c r="AV17" s="11"/>
      <c r="AW17" s="11"/>
      <c r="AX17" s="11">
        <v>11</v>
      </c>
      <c r="AY17" s="11">
        <v>11</v>
      </c>
      <c r="AZ17" s="11">
        <v>15</v>
      </c>
      <c r="BA17" s="11"/>
      <c r="BB17" s="11"/>
      <c r="BC17" s="11"/>
      <c r="BD17" s="11">
        <v>12</v>
      </c>
      <c r="BE17" s="11"/>
      <c r="BF17" s="11"/>
    </row>
    <row r="18" spans="1:58" ht="31.5" x14ac:dyDescent="0.25">
      <c r="A18" s="29" t="s">
        <v>20</v>
      </c>
      <c r="B18" s="27" t="s">
        <v>21</v>
      </c>
      <c r="C18" s="11"/>
      <c r="D18" s="11">
        <v>30</v>
      </c>
      <c r="E18" s="11">
        <v>30</v>
      </c>
      <c r="F18" s="11">
        <v>14</v>
      </c>
      <c r="G18" s="11"/>
      <c r="H18" s="11"/>
      <c r="I18" s="11"/>
      <c r="J18" s="11"/>
      <c r="K18" s="11">
        <v>1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>
        <v>7</v>
      </c>
      <c r="AD18" s="11"/>
      <c r="AE18" s="11">
        <v>5</v>
      </c>
      <c r="AF18" s="11"/>
      <c r="AG18" s="11"/>
      <c r="AH18" s="11">
        <v>7</v>
      </c>
      <c r="AI18" s="11">
        <v>4</v>
      </c>
      <c r="AJ18" s="11"/>
      <c r="AK18" s="11"/>
      <c r="AL18" s="11"/>
      <c r="AM18" s="11"/>
      <c r="AN18" s="11"/>
      <c r="AO18" s="11">
        <v>3</v>
      </c>
      <c r="AP18" s="11"/>
      <c r="AQ18" s="11"/>
      <c r="AR18" s="11">
        <v>3</v>
      </c>
      <c r="AS18" s="11"/>
      <c r="AT18" s="11"/>
      <c r="AU18" s="11"/>
      <c r="AV18" s="11"/>
      <c r="AW18" s="11"/>
      <c r="AX18" s="11">
        <v>3</v>
      </c>
      <c r="AY18" s="11">
        <v>1</v>
      </c>
      <c r="AZ18" s="11">
        <v>5</v>
      </c>
      <c r="BA18" s="11"/>
      <c r="BB18" s="11"/>
      <c r="BC18" s="11"/>
      <c r="BD18" s="11">
        <v>0</v>
      </c>
      <c r="BE18" s="11"/>
      <c r="BF18" s="11"/>
    </row>
    <row r="19" spans="1:58" ht="31.5" x14ac:dyDescent="0.25">
      <c r="A19" s="29" t="s">
        <v>22</v>
      </c>
      <c r="B19" s="27" t="s">
        <v>23</v>
      </c>
      <c r="C19" s="11"/>
      <c r="D19" s="11">
        <v>3</v>
      </c>
      <c r="E19" s="11">
        <v>7</v>
      </c>
      <c r="F19" s="11">
        <v>3</v>
      </c>
      <c r="G19" s="11"/>
      <c r="H19" s="11"/>
      <c r="I19" s="11"/>
      <c r="J19" s="11"/>
      <c r="K19" s="11">
        <v>0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>
        <v>1</v>
      </c>
      <c r="AD19" s="11"/>
      <c r="AE19" s="11">
        <v>1</v>
      </c>
      <c r="AF19" s="11"/>
      <c r="AG19" s="11"/>
      <c r="AH19" s="11">
        <v>1</v>
      </c>
      <c r="AI19" s="11">
        <v>3</v>
      </c>
      <c r="AJ19" s="11"/>
      <c r="AK19" s="11"/>
      <c r="AL19" s="11"/>
      <c r="AM19" s="11"/>
      <c r="AN19" s="11"/>
      <c r="AO19" s="11">
        <v>2</v>
      </c>
      <c r="AP19" s="11"/>
      <c r="AQ19" s="11"/>
      <c r="AR19" s="11">
        <v>2</v>
      </c>
      <c r="AS19" s="11"/>
      <c r="AT19" s="11"/>
      <c r="AU19" s="11"/>
      <c r="AV19" s="11"/>
      <c r="AW19" s="11"/>
      <c r="AX19" s="11">
        <v>2</v>
      </c>
      <c r="AY19" s="11">
        <v>3</v>
      </c>
      <c r="AZ19" s="11">
        <v>7</v>
      </c>
      <c r="BA19" s="11"/>
      <c r="BB19" s="11"/>
      <c r="BC19" s="11"/>
      <c r="BD19" s="11">
        <v>1</v>
      </c>
      <c r="BE19" s="11"/>
      <c r="BF19" s="11"/>
    </row>
    <row r="20" spans="1:58" ht="30.75" customHeight="1" x14ac:dyDescent="0.25">
      <c r="A20" s="52" t="s">
        <v>24</v>
      </c>
      <c r="B20" s="5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47.25" x14ac:dyDescent="0.25">
      <c r="A21" s="2" t="s">
        <v>25</v>
      </c>
      <c r="B21" s="27" t="s">
        <v>26</v>
      </c>
      <c r="C21" s="11"/>
      <c r="D21" s="14">
        <v>1</v>
      </c>
      <c r="E21" s="14">
        <v>1</v>
      </c>
      <c r="F21" s="14">
        <v>1</v>
      </c>
      <c r="G21" s="11"/>
      <c r="H21" s="11"/>
      <c r="I21" s="11"/>
      <c r="J21" s="11"/>
      <c r="K21" s="14">
        <v>1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3">
        <f>44/50</f>
        <v>0.88</v>
      </c>
      <c r="AD21" s="11"/>
      <c r="AE21" s="14">
        <v>1</v>
      </c>
      <c r="AF21" s="11"/>
      <c r="AG21" s="11"/>
      <c r="AH21" s="13">
        <v>1</v>
      </c>
      <c r="AI21" s="13">
        <f>78/89</f>
        <v>0.8764044943820225</v>
      </c>
      <c r="AJ21" s="11"/>
      <c r="AK21" s="11"/>
      <c r="AL21" s="11"/>
      <c r="AM21" s="11"/>
      <c r="AN21" s="11"/>
      <c r="AO21" s="13">
        <f>49/50</f>
        <v>0.98</v>
      </c>
      <c r="AP21" s="11"/>
      <c r="AQ21" s="11"/>
      <c r="AR21" s="13">
        <f>49/50</f>
        <v>0.98</v>
      </c>
      <c r="AS21" s="11"/>
      <c r="AT21" s="11"/>
      <c r="AU21" s="11"/>
      <c r="AV21" s="11"/>
      <c r="AW21" s="11"/>
      <c r="AX21" s="13">
        <f>49/50</f>
        <v>0.98</v>
      </c>
      <c r="AY21" s="14">
        <v>0.92</v>
      </c>
      <c r="AZ21" s="14">
        <v>0.98</v>
      </c>
      <c r="BA21" s="11"/>
      <c r="BB21" s="11"/>
      <c r="BC21" s="11"/>
      <c r="BD21" s="14">
        <v>0.98</v>
      </c>
      <c r="BE21" s="11"/>
      <c r="BF21" s="11"/>
    </row>
    <row r="22" spans="1:58" ht="31.5" x14ac:dyDescent="0.25">
      <c r="A22" s="29" t="s">
        <v>27</v>
      </c>
      <c r="B22" s="27" t="s">
        <v>28</v>
      </c>
      <c r="C22" s="11"/>
      <c r="D22" s="14">
        <v>1</v>
      </c>
      <c r="E22" s="14">
        <v>1</v>
      </c>
      <c r="F22" s="14">
        <v>1</v>
      </c>
      <c r="G22" s="11"/>
      <c r="H22" s="11"/>
      <c r="I22" s="11"/>
      <c r="J22" s="11"/>
      <c r="K22" s="14">
        <v>1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3">
        <f>43/50</f>
        <v>0.86</v>
      </c>
      <c r="AD22" s="11"/>
      <c r="AE22" s="14">
        <v>1</v>
      </c>
      <c r="AF22" s="11"/>
      <c r="AG22" s="11"/>
      <c r="AH22" s="13">
        <v>1</v>
      </c>
      <c r="AI22" s="13">
        <f>76/89</f>
        <v>0.8539325842696629</v>
      </c>
      <c r="AJ22" s="11"/>
      <c r="AK22" s="11"/>
      <c r="AL22" s="11"/>
      <c r="AM22" s="11"/>
      <c r="AN22" s="11"/>
      <c r="AO22" s="13">
        <f>49/50</f>
        <v>0.98</v>
      </c>
      <c r="AP22" s="11"/>
      <c r="AQ22" s="11"/>
      <c r="AR22" s="13">
        <f>49/50</f>
        <v>0.98</v>
      </c>
      <c r="AS22" s="11"/>
      <c r="AT22" s="11"/>
      <c r="AU22" s="11"/>
      <c r="AV22" s="11"/>
      <c r="AW22" s="11"/>
      <c r="AX22" s="13">
        <f>49/50</f>
        <v>0.98</v>
      </c>
      <c r="AY22" s="14">
        <v>0.94</v>
      </c>
      <c r="AZ22" s="14">
        <v>0.96</v>
      </c>
      <c r="BA22" s="11"/>
      <c r="BB22" s="11"/>
      <c r="BC22" s="11"/>
      <c r="BD22" s="14">
        <v>1</v>
      </c>
      <c r="BE22" s="11"/>
      <c r="BF22" s="11"/>
    </row>
    <row r="23" spans="1:58" ht="27.75" customHeight="1" x14ac:dyDescent="0.25">
      <c r="A23" s="52" t="s">
        <v>29</v>
      </c>
      <c r="B23" s="5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2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31.5" x14ac:dyDescent="0.25">
      <c r="A24" s="29" t="s">
        <v>30</v>
      </c>
      <c r="B24" s="27" t="s">
        <v>31</v>
      </c>
      <c r="C24" s="11"/>
      <c r="D24" s="14">
        <v>1</v>
      </c>
      <c r="E24" s="14">
        <v>0.96</v>
      </c>
      <c r="F24" s="14">
        <v>1</v>
      </c>
      <c r="G24" s="11"/>
      <c r="H24" s="11"/>
      <c r="I24" s="11"/>
      <c r="J24" s="11"/>
      <c r="K24" s="14">
        <v>1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3">
        <f>41/50</f>
        <v>0.82</v>
      </c>
      <c r="AD24" s="11"/>
      <c r="AE24" s="14">
        <v>1</v>
      </c>
      <c r="AF24" s="11"/>
      <c r="AG24" s="11"/>
      <c r="AH24" s="13">
        <v>1</v>
      </c>
      <c r="AI24" s="13">
        <f>83/89</f>
        <v>0.93258426966292129</v>
      </c>
      <c r="AJ24" s="11"/>
      <c r="AK24" s="11"/>
      <c r="AL24" s="11"/>
      <c r="AM24" s="11"/>
      <c r="AN24" s="11"/>
      <c r="AO24" s="13">
        <f>43/50</f>
        <v>0.86</v>
      </c>
      <c r="AP24" s="11"/>
      <c r="AQ24" s="11"/>
      <c r="AR24" s="13">
        <f>43/50</f>
        <v>0.86</v>
      </c>
      <c r="AS24" s="11"/>
      <c r="AT24" s="11"/>
      <c r="AU24" s="11"/>
      <c r="AV24" s="11"/>
      <c r="AW24" s="11"/>
      <c r="AX24" s="13">
        <f>43/50</f>
        <v>0.86</v>
      </c>
      <c r="AY24" s="14">
        <v>0.88</v>
      </c>
      <c r="AZ24" s="14">
        <v>1</v>
      </c>
      <c r="BA24" s="11"/>
      <c r="BB24" s="11"/>
      <c r="BC24" s="11"/>
      <c r="BD24" s="14">
        <v>1</v>
      </c>
      <c r="BE24" s="11"/>
      <c r="BF24" s="11"/>
    </row>
    <row r="25" spans="1:58" x14ac:dyDescent="0.25">
      <c r="A25" s="29" t="s">
        <v>32</v>
      </c>
      <c r="B25" s="27" t="s">
        <v>33</v>
      </c>
      <c r="C25" s="11"/>
      <c r="D25" s="14">
        <v>1</v>
      </c>
      <c r="E25" s="14">
        <v>1</v>
      </c>
      <c r="F25" s="14">
        <v>1</v>
      </c>
      <c r="G25" s="11"/>
      <c r="H25" s="11"/>
      <c r="I25" s="11"/>
      <c r="J25" s="11"/>
      <c r="K25" s="14">
        <v>1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4">
        <v>1</v>
      </c>
      <c r="AD25" s="11"/>
      <c r="AE25" s="14">
        <v>1</v>
      </c>
      <c r="AF25" s="11"/>
      <c r="AG25" s="11"/>
      <c r="AH25" s="13">
        <v>1</v>
      </c>
      <c r="AI25" s="13">
        <v>1</v>
      </c>
      <c r="AJ25" s="11"/>
      <c r="AK25" s="11"/>
      <c r="AL25" s="11"/>
      <c r="AM25" s="11"/>
      <c r="AN25" s="11"/>
      <c r="AO25" s="13">
        <v>1</v>
      </c>
      <c r="AP25" s="11"/>
      <c r="AQ25" s="11"/>
      <c r="AR25" s="13">
        <v>1</v>
      </c>
      <c r="AS25" s="11"/>
      <c r="AT25" s="11"/>
      <c r="AU25" s="11"/>
      <c r="AV25" s="11"/>
      <c r="AW25" s="11"/>
      <c r="AX25" s="13">
        <v>1</v>
      </c>
      <c r="AY25" s="14">
        <v>0.92</v>
      </c>
      <c r="AZ25" s="14">
        <v>1</v>
      </c>
      <c r="BA25" s="11"/>
      <c r="BB25" s="11"/>
      <c r="BC25" s="11"/>
      <c r="BD25" s="14">
        <v>1</v>
      </c>
      <c r="BE25" s="11"/>
      <c r="BF25" s="11"/>
    </row>
    <row r="26" spans="1:58" ht="31.5" x14ac:dyDescent="0.25">
      <c r="A26" s="29" t="s">
        <v>34</v>
      </c>
      <c r="B26" s="27" t="s">
        <v>35</v>
      </c>
      <c r="C26" s="11"/>
      <c r="D26" s="14">
        <v>0.96</v>
      </c>
      <c r="E26" s="14">
        <v>1</v>
      </c>
      <c r="F26" s="14">
        <v>1</v>
      </c>
      <c r="G26" s="11"/>
      <c r="H26" s="11"/>
      <c r="I26" s="11"/>
      <c r="J26" s="11"/>
      <c r="K26" s="14">
        <v>1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3">
        <f>47/50</f>
        <v>0.94</v>
      </c>
      <c r="AD26" s="11"/>
      <c r="AE26" s="14">
        <v>1</v>
      </c>
      <c r="AF26" s="11"/>
      <c r="AG26" s="11"/>
      <c r="AH26" s="13">
        <v>1</v>
      </c>
      <c r="AI26" s="13">
        <f>76/89</f>
        <v>0.8539325842696629</v>
      </c>
      <c r="AJ26" s="11"/>
      <c r="AK26" s="11"/>
      <c r="AL26" s="11"/>
      <c r="AM26" s="11"/>
      <c r="AN26" s="11"/>
      <c r="AO26" s="13">
        <f>48/50</f>
        <v>0.96</v>
      </c>
      <c r="AP26" s="11"/>
      <c r="AQ26" s="11"/>
      <c r="AR26" s="13">
        <f>48/50</f>
        <v>0.96</v>
      </c>
      <c r="AS26" s="11"/>
      <c r="AT26" s="11"/>
      <c r="AU26" s="11"/>
      <c r="AV26" s="11"/>
      <c r="AW26" s="11"/>
      <c r="AX26" s="13">
        <f>48/50</f>
        <v>0.96</v>
      </c>
      <c r="AY26" s="14">
        <v>0.94</v>
      </c>
      <c r="AZ26" s="14">
        <v>1</v>
      </c>
      <c r="BA26" s="11"/>
      <c r="BB26" s="11"/>
      <c r="BC26" s="11"/>
      <c r="BD26" s="14">
        <v>1</v>
      </c>
      <c r="BE26" s="11"/>
      <c r="BF26" s="11"/>
    </row>
    <row r="27" spans="1:58" ht="31.5" x14ac:dyDescent="0.25">
      <c r="A27" s="29" t="s">
        <v>36</v>
      </c>
      <c r="B27" s="27" t="s">
        <v>37</v>
      </c>
      <c r="C27" s="11"/>
      <c r="D27" s="14">
        <v>1</v>
      </c>
      <c r="E27" s="14">
        <v>0.98</v>
      </c>
      <c r="F27" s="14">
        <v>1</v>
      </c>
      <c r="G27" s="11"/>
      <c r="H27" s="11"/>
      <c r="I27" s="11"/>
      <c r="J27" s="11"/>
      <c r="K27" s="14">
        <v>1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3">
        <f>45/50</f>
        <v>0.9</v>
      </c>
      <c r="AD27" s="11"/>
      <c r="AE27" s="14">
        <v>1</v>
      </c>
      <c r="AF27" s="11"/>
      <c r="AG27" s="11"/>
      <c r="AH27" s="13">
        <v>1</v>
      </c>
      <c r="AI27" s="13">
        <f>81/89</f>
        <v>0.9101123595505618</v>
      </c>
      <c r="AJ27" s="11"/>
      <c r="AK27" s="11"/>
      <c r="AL27" s="11"/>
      <c r="AM27" s="11"/>
      <c r="AN27" s="11"/>
      <c r="AO27" s="13">
        <v>1</v>
      </c>
      <c r="AP27" s="11"/>
      <c r="AQ27" s="11"/>
      <c r="AR27" s="13">
        <v>1</v>
      </c>
      <c r="AS27" s="11"/>
      <c r="AT27" s="11"/>
      <c r="AU27" s="11"/>
      <c r="AV27" s="11"/>
      <c r="AW27" s="11"/>
      <c r="AX27" s="13">
        <v>1</v>
      </c>
      <c r="AY27" s="14">
        <v>0.94</v>
      </c>
      <c r="AZ27" s="14">
        <v>0.94</v>
      </c>
      <c r="BA27" s="11"/>
      <c r="BB27" s="11"/>
      <c r="BC27" s="11"/>
      <c r="BD27" s="14">
        <v>1</v>
      </c>
      <c r="BE27" s="11"/>
      <c r="BF27" s="11"/>
    </row>
    <row r="28" spans="1:58" x14ac:dyDescent="0.25">
      <c r="A28" s="29"/>
      <c r="B28" s="27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</row>
    <row r="29" spans="1:58" ht="18.75" x14ac:dyDescent="0.25">
      <c r="A29" s="55" t="s">
        <v>76</v>
      </c>
      <c r="B29" s="5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</row>
    <row r="30" spans="1:58" x14ac:dyDescent="0.25">
      <c r="A30" s="56" t="s">
        <v>77</v>
      </c>
      <c r="B30" s="56"/>
      <c r="C30" s="11">
        <f>SUM(D30:BF30)</f>
        <v>869</v>
      </c>
      <c r="D30" s="11">
        <v>50</v>
      </c>
      <c r="E30" s="11">
        <v>59</v>
      </c>
      <c r="F30" s="11">
        <v>50</v>
      </c>
      <c r="G30" s="11"/>
      <c r="H30" s="11"/>
      <c r="I30" s="11"/>
      <c r="J30" s="11"/>
      <c r="K30" s="11">
        <v>30</v>
      </c>
      <c r="L30" s="11">
        <v>50</v>
      </c>
      <c r="M30" s="11">
        <v>50</v>
      </c>
      <c r="N30" s="11">
        <v>50</v>
      </c>
      <c r="O30" s="11">
        <v>50</v>
      </c>
      <c r="P30" s="11"/>
      <c r="Q30" s="11"/>
      <c r="R30" s="11">
        <v>50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>
        <v>50</v>
      </c>
      <c r="AD30" s="11"/>
      <c r="AE30" s="11">
        <v>50</v>
      </c>
      <c r="AF30" s="11"/>
      <c r="AG30" s="11"/>
      <c r="AH30" s="11">
        <v>79</v>
      </c>
      <c r="AI30" s="11"/>
      <c r="AJ30" s="11"/>
      <c r="AK30" s="11"/>
      <c r="AL30" s="11"/>
      <c r="AM30" s="11"/>
      <c r="AN30" s="11"/>
      <c r="AO30" s="11">
        <v>50</v>
      </c>
      <c r="AP30" s="11"/>
      <c r="AQ30" s="11"/>
      <c r="AR30" s="11">
        <v>50</v>
      </c>
      <c r="AS30" s="11"/>
      <c r="AT30" s="11"/>
      <c r="AU30" s="11"/>
      <c r="AV30" s="11"/>
      <c r="AW30" s="11"/>
      <c r="AX30" s="11">
        <v>51</v>
      </c>
      <c r="AY30" s="11">
        <v>50</v>
      </c>
      <c r="AZ30" s="11">
        <v>50</v>
      </c>
      <c r="BA30" s="11"/>
      <c r="BB30" s="11"/>
      <c r="BC30" s="11"/>
      <c r="BD30" s="11"/>
      <c r="BE30" s="11"/>
      <c r="BF30" s="11"/>
    </row>
    <row r="31" spans="1:58" ht="63" x14ac:dyDescent="0.25">
      <c r="A31" s="27" t="s">
        <v>0</v>
      </c>
      <c r="B31" s="27" t="s">
        <v>1</v>
      </c>
      <c r="C31" s="11"/>
      <c r="D31" s="24">
        <f>(SUM(D37:D40,D46:D47,D49:D56)+IF(D34=5,100%,0%)+IF(D35=5,100%,0%)+(100%-D44))/16</f>
        <v>0.95250000000000001</v>
      </c>
      <c r="E31" s="24">
        <f t="shared" ref="E31:AZ31" si="15">(SUM(E37:E40,E46:E47,E49:E56)+IF(E34=5,100%,0%)+IF(E35=5,100%,0%)+(100%-E44))/16</f>
        <v>0.78</v>
      </c>
      <c r="F31" s="24">
        <f t="shared" si="15"/>
        <v>0.99750000000000005</v>
      </c>
      <c r="G31" s="24"/>
      <c r="H31" s="24"/>
      <c r="I31" s="24"/>
      <c r="J31" s="24"/>
      <c r="K31" s="24">
        <f t="shared" si="15"/>
        <v>0.8125</v>
      </c>
      <c r="L31" s="24">
        <f t="shared" si="15"/>
        <v>0.98750000000000004</v>
      </c>
      <c r="M31" s="24">
        <f t="shared" si="15"/>
        <v>0.99</v>
      </c>
      <c r="N31" s="24">
        <f t="shared" si="15"/>
        <v>0.78625</v>
      </c>
      <c r="O31" s="24">
        <f t="shared" si="15"/>
        <v>0.80125000000000002</v>
      </c>
      <c r="P31" s="24"/>
      <c r="Q31" s="24"/>
      <c r="R31" s="24">
        <f t="shared" si="15"/>
        <v>0.77749999999999997</v>
      </c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>
        <f t="shared" si="15"/>
        <v>0.97499999999999998</v>
      </c>
      <c r="AD31" s="24"/>
      <c r="AE31" s="24">
        <f t="shared" si="15"/>
        <v>0.99624999999999997</v>
      </c>
      <c r="AF31" s="24"/>
      <c r="AG31" s="24"/>
      <c r="AH31" s="24">
        <f t="shared" si="15"/>
        <v>0.99683544303797467</v>
      </c>
      <c r="AI31" s="24"/>
      <c r="AJ31" s="24"/>
      <c r="AK31" s="24"/>
      <c r="AL31" s="24"/>
      <c r="AM31" s="24"/>
      <c r="AN31" s="24"/>
      <c r="AO31" s="24">
        <f t="shared" si="15"/>
        <v>0.96750000000000003</v>
      </c>
      <c r="AP31" s="24"/>
      <c r="AQ31" s="24"/>
      <c r="AR31" s="24">
        <f t="shared" si="15"/>
        <v>0.99124999999999996</v>
      </c>
      <c r="AS31" s="24"/>
      <c r="AT31" s="24"/>
      <c r="AU31" s="24"/>
      <c r="AV31" s="24"/>
      <c r="AW31" s="24"/>
      <c r="AX31" s="24">
        <f t="shared" si="15"/>
        <v>0.96750000000000003</v>
      </c>
      <c r="AY31" s="24">
        <f t="shared" si="15"/>
        <v>0.96624999999999994</v>
      </c>
      <c r="AZ31" s="24">
        <f t="shared" si="15"/>
        <v>0.96250000000000002</v>
      </c>
      <c r="BA31" s="24"/>
      <c r="BB31" s="24"/>
      <c r="BC31" s="24"/>
      <c r="BD31" s="24"/>
      <c r="BE31" s="24"/>
      <c r="BF31" s="24"/>
    </row>
    <row r="32" spans="1:58" ht="16.5" customHeight="1" x14ac:dyDescent="0.25">
      <c r="A32" s="52" t="s">
        <v>2</v>
      </c>
      <c r="B32" s="5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</row>
    <row r="33" spans="1:58" x14ac:dyDescent="0.25">
      <c r="A33" s="28" t="s">
        <v>3</v>
      </c>
      <c r="B33" s="27" t="s">
        <v>45</v>
      </c>
      <c r="C33" s="11"/>
      <c r="D33" s="11">
        <v>0</v>
      </c>
      <c r="E33" s="11">
        <v>0</v>
      </c>
      <c r="F33" s="19">
        <v>0</v>
      </c>
      <c r="G33" s="11"/>
      <c r="H33" s="11"/>
      <c r="I33" s="11"/>
      <c r="J33" s="11"/>
      <c r="K33" s="11">
        <v>0</v>
      </c>
      <c r="L33" s="11">
        <v>0</v>
      </c>
      <c r="M33" s="11">
        <v>0</v>
      </c>
      <c r="N33" s="11">
        <v>0</v>
      </c>
      <c r="O33" s="19">
        <v>0</v>
      </c>
      <c r="P33" s="11"/>
      <c r="Q33" s="11"/>
      <c r="R33" s="11">
        <v>0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>
        <v>0</v>
      </c>
      <c r="AD33" s="11"/>
      <c r="AE33" s="11">
        <v>0</v>
      </c>
      <c r="AF33" s="11"/>
      <c r="AG33" s="11"/>
      <c r="AH33" s="11">
        <v>0</v>
      </c>
      <c r="AI33" s="11"/>
      <c r="AJ33" s="11"/>
      <c r="AK33" s="11"/>
      <c r="AL33" s="11"/>
      <c r="AM33" s="11"/>
      <c r="AN33" s="11"/>
      <c r="AO33" s="11">
        <v>0</v>
      </c>
      <c r="AP33" s="11"/>
      <c r="AQ33" s="11"/>
      <c r="AR33" s="11">
        <v>0</v>
      </c>
      <c r="AS33" s="11"/>
      <c r="AT33" s="11"/>
      <c r="AU33" s="11"/>
      <c r="AV33" s="11"/>
      <c r="AW33" s="11"/>
      <c r="AX33" s="11">
        <v>0</v>
      </c>
      <c r="AY33" s="11">
        <v>0</v>
      </c>
      <c r="AZ33" s="11">
        <v>0</v>
      </c>
      <c r="BA33" s="11"/>
      <c r="BB33" s="11"/>
      <c r="BC33" s="11"/>
      <c r="BD33" s="11"/>
      <c r="BE33" s="11"/>
      <c r="BF33" s="11"/>
    </row>
    <row r="34" spans="1:58" ht="47.25" x14ac:dyDescent="0.25">
      <c r="A34" s="2" t="s">
        <v>46</v>
      </c>
      <c r="B34" s="27" t="s">
        <v>5</v>
      </c>
      <c r="C34" s="11"/>
      <c r="D34" s="11">
        <v>5</v>
      </c>
      <c r="E34" s="11">
        <v>0</v>
      </c>
      <c r="F34" s="11">
        <v>5</v>
      </c>
      <c r="G34" s="11"/>
      <c r="H34" s="11"/>
      <c r="I34" s="11"/>
      <c r="J34" s="11"/>
      <c r="K34" s="11">
        <v>0</v>
      </c>
      <c r="L34" s="11">
        <v>5</v>
      </c>
      <c r="M34" s="11">
        <v>5</v>
      </c>
      <c r="N34" s="11">
        <v>0</v>
      </c>
      <c r="O34" s="11">
        <v>0</v>
      </c>
      <c r="P34" s="11"/>
      <c r="Q34" s="11"/>
      <c r="R34" s="11">
        <v>0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>
        <v>5</v>
      </c>
      <c r="AD34" s="11"/>
      <c r="AE34" s="11">
        <v>5</v>
      </c>
      <c r="AF34" s="11"/>
      <c r="AG34" s="11"/>
      <c r="AH34" s="11">
        <v>5</v>
      </c>
      <c r="AI34" s="11"/>
      <c r="AJ34" s="11"/>
      <c r="AK34" s="11"/>
      <c r="AL34" s="11"/>
      <c r="AM34" s="11"/>
      <c r="AN34" s="11"/>
      <c r="AO34" s="11">
        <v>5</v>
      </c>
      <c r="AP34" s="11"/>
      <c r="AQ34" s="11"/>
      <c r="AR34" s="11">
        <v>5</v>
      </c>
      <c r="AS34" s="11"/>
      <c r="AT34" s="11"/>
      <c r="AU34" s="11"/>
      <c r="AV34" s="11"/>
      <c r="AW34" s="11"/>
      <c r="AX34" s="11">
        <v>5</v>
      </c>
      <c r="AY34" s="11">
        <v>5</v>
      </c>
      <c r="AZ34" s="11">
        <v>5</v>
      </c>
      <c r="BA34" s="11"/>
      <c r="BB34" s="11"/>
      <c r="BC34" s="11"/>
      <c r="BD34" s="11"/>
      <c r="BE34" s="11"/>
      <c r="BF34" s="11"/>
    </row>
    <row r="35" spans="1:58" ht="31.5" x14ac:dyDescent="0.25">
      <c r="A35" s="2" t="s">
        <v>6</v>
      </c>
      <c r="B35" s="27" t="s">
        <v>5</v>
      </c>
      <c r="C35" s="11"/>
      <c r="D35" s="11">
        <v>5</v>
      </c>
      <c r="E35" s="11">
        <v>0</v>
      </c>
      <c r="F35" s="11">
        <v>5</v>
      </c>
      <c r="G35" s="11"/>
      <c r="H35" s="11"/>
      <c r="I35" s="11"/>
      <c r="J35" s="11"/>
      <c r="K35" s="11">
        <v>0</v>
      </c>
      <c r="L35" s="11">
        <v>5</v>
      </c>
      <c r="M35" s="11">
        <v>5</v>
      </c>
      <c r="N35" s="11">
        <v>0</v>
      </c>
      <c r="O35" s="11">
        <v>0</v>
      </c>
      <c r="P35" s="11"/>
      <c r="Q35" s="11"/>
      <c r="R35" s="11">
        <v>0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>
        <v>5</v>
      </c>
      <c r="AD35" s="11"/>
      <c r="AE35" s="11">
        <v>5</v>
      </c>
      <c r="AF35" s="11"/>
      <c r="AG35" s="11"/>
      <c r="AH35" s="11">
        <v>5</v>
      </c>
      <c r="AI35" s="11"/>
      <c r="AJ35" s="11"/>
      <c r="AK35" s="11"/>
      <c r="AL35" s="11"/>
      <c r="AM35" s="11"/>
      <c r="AN35" s="11"/>
      <c r="AO35" s="11">
        <v>5</v>
      </c>
      <c r="AP35" s="11"/>
      <c r="AQ35" s="11"/>
      <c r="AR35" s="11">
        <v>5</v>
      </c>
      <c r="AS35" s="11"/>
      <c r="AT35" s="11"/>
      <c r="AU35" s="11"/>
      <c r="AV35" s="11"/>
      <c r="AW35" s="11"/>
      <c r="AX35" s="11">
        <v>5</v>
      </c>
      <c r="AY35" s="11">
        <v>5</v>
      </c>
      <c r="AZ35" s="11">
        <v>5</v>
      </c>
      <c r="BA35" s="11"/>
      <c r="BB35" s="11"/>
      <c r="BC35" s="11"/>
      <c r="BD35" s="11"/>
      <c r="BE35" s="11"/>
      <c r="BF35" s="11"/>
    </row>
    <row r="36" spans="1:58" ht="63" x14ac:dyDescent="0.25">
      <c r="A36" s="2" t="s">
        <v>7</v>
      </c>
      <c r="B36" s="27" t="s">
        <v>81</v>
      </c>
      <c r="C36" s="11"/>
      <c r="D36" s="14">
        <f>(SUM(D37:D40,D46:D56)+(100%-D44))/14</f>
        <v>0.94571428571428573</v>
      </c>
      <c r="E36" s="14">
        <f>(SUM(E37:E40,E46:E56)+(100%-E44))/14</f>
        <v>0.89142857142857146</v>
      </c>
      <c r="F36" s="14">
        <f>(SUM(F37:F40,F46:F56)+(100%-F44))/14</f>
        <v>0.99714285714285722</v>
      </c>
      <c r="G36" s="14"/>
      <c r="H36" s="14"/>
      <c r="I36" s="14"/>
      <c r="J36" s="14"/>
      <c r="K36" s="14">
        <f t="shared" ref="K36:O36" si="16">(SUM(K37:K40,K46:K56)+(100%-K44))/14</f>
        <v>0.9285714285714286</v>
      </c>
      <c r="L36" s="14">
        <f t="shared" si="16"/>
        <v>0.98571428571428577</v>
      </c>
      <c r="M36" s="14">
        <f t="shared" si="16"/>
        <v>0.98857142857142855</v>
      </c>
      <c r="N36" s="14">
        <f t="shared" si="16"/>
        <v>0.89857142857142858</v>
      </c>
      <c r="O36" s="14">
        <f t="shared" si="16"/>
        <v>0.9157142857142857</v>
      </c>
      <c r="P36" s="14"/>
      <c r="Q36" s="14"/>
      <c r="R36" s="14">
        <f>(SUM(R37:R40,R46:R56)+(100%-R44))/14</f>
        <v>0.88857142857142857</v>
      </c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>
        <f t="shared" ref="AC36" si="17">(SUM(AC37:AC40,AC46:AC56)+(100%-AC44))/14</f>
        <v>0.97142857142857142</v>
      </c>
      <c r="AD36" s="14"/>
      <c r="AE36" s="14">
        <f t="shared" ref="AE36" si="18">(SUM(AE37:AE40,AE46:AE56)+(100%-AE44))/14</f>
        <v>0.99571428571428566</v>
      </c>
      <c r="AF36" s="14"/>
      <c r="AG36" s="14"/>
      <c r="AH36" s="14">
        <f t="shared" ref="AH36" si="19">(SUM(AH37:AH40,AH46:AH56)+(100%-AH44))/14</f>
        <v>0.9963833634719711</v>
      </c>
      <c r="AI36" s="14"/>
      <c r="AJ36" s="14"/>
      <c r="AK36" s="14"/>
      <c r="AL36" s="14"/>
      <c r="AM36" s="14"/>
      <c r="AN36" s="14"/>
      <c r="AO36" s="14">
        <f t="shared" ref="AO36" si="20">(SUM(AO37:AO40,AO46:AO56)+(100%-AO44))/14</f>
        <v>0.96285714285714286</v>
      </c>
      <c r="AP36" s="14"/>
      <c r="AQ36" s="14"/>
      <c r="AR36" s="14">
        <f t="shared" ref="AR36" si="21">(SUM(AR37:AR40,AR46:AR56)+(100%-AR44))/14</f>
        <v>0.99</v>
      </c>
      <c r="AS36" s="14"/>
      <c r="AT36" s="14"/>
      <c r="AU36" s="14"/>
      <c r="AV36" s="14"/>
      <c r="AW36" s="14"/>
      <c r="AX36" s="14">
        <f t="shared" ref="AX36" si="22">(SUM(AX37:AX40,AX46:AX56)+(100%-AX44))/14</f>
        <v>0.96285714285714286</v>
      </c>
      <c r="AY36" s="14">
        <f t="shared" ref="AY36" si="23">(SUM(AY37:AY40,AY46:AY56)+(100%-AY44))/14</f>
        <v>0.96142857142857141</v>
      </c>
      <c r="AZ36" s="14">
        <f t="shared" ref="AZ36" si="24">(SUM(AZ37:AZ40,AZ46:AZ56)+(100%-AZ44))/14</f>
        <v>0.95714285714285718</v>
      </c>
      <c r="BA36" s="14"/>
      <c r="BB36" s="14"/>
      <c r="BC36" s="14"/>
      <c r="BD36" s="14"/>
      <c r="BE36" s="14"/>
      <c r="BF36" s="14"/>
    </row>
    <row r="37" spans="1:58" ht="47.25" x14ac:dyDescent="0.25">
      <c r="A37" s="2" t="s">
        <v>47</v>
      </c>
      <c r="B37" s="27" t="s">
        <v>48</v>
      </c>
      <c r="C37" s="11"/>
      <c r="D37" s="14">
        <v>0.92</v>
      </c>
      <c r="E37" s="14">
        <v>0</v>
      </c>
      <c r="F37" s="13">
        <v>1</v>
      </c>
      <c r="G37" s="11"/>
      <c r="H37" s="11"/>
      <c r="I37" s="11"/>
      <c r="J37" s="11"/>
      <c r="K37" s="14">
        <v>0</v>
      </c>
      <c r="L37" s="14">
        <v>1</v>
      </c>
      <c r="M37" s="14">
        <v>1</v>
      </c>
      <c r="N37" s="14">
        <v>0</v>
      </c>
      <c r="O37" s="14">
        <v>0</v>
      </c>
      <c r="P37" s="11"/>
      <c r="Q37" s="11"/>
      <c r="R37" s="14">
        <v>0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4">
        <v>1</v>
      </c>
      <c r="AD37" s="11"/>
      <c r="AE37" s="13">
        <f>49/50</f>
        <v>0.98</v>
      </c>
      <c r="AF37" s="11"/>
      <c r="AG37" s="11"/>
      <c r="AH37" s="13">
        <v>1</v>
      </c>
      <c r="AI37" s="11"/>
      <c r="AJ37" s="11"/>
      <c r="AK37" s="11"/>
      <c r="AL37" s="11"/>
      <c r="AM37" s="11"/>
      <c r="AN37" s="11"/>
      <c r="AO37" s="14">
        <v>1</v>
      </c>
      <c r="AP37" s="11"/>
      <c r="AQ37" s="11"/>
      <c r="AR37" s="13">
        <f>49/50</f>
        <v>0.98</v>
      </c>
      <c r="AS37" s="11"/>
      <c r="AT37" s="11"/>
      <c r="AU37" s="11"/>
      <c r="AV37" s="11"/>
      <c r="AW37" s="11"/>
      <c r="AX37" s="14">
        <v>1</v>
      </c>
      <c r="AY37" s="14">
        <v>0.94</v>
      </c>
      <c r="AZ37" s="14">
        <v>0.96</v>
      </c>
      <c r="BA37" s="11"/>
      <c r="BB37" s="11"/>
      <c r="BC37" s="11"/>
      <c r="BD37" s="11"/>
      <c r="BE37" s="11"/>
      <c r="BF37" s="11"/>
    </row>
    <row r="38" spans="1:58" ht="30" customHeight="1" x14ac:dyDescent="0.25">
      <c r="A38" s="52" t="s">
        <v>38</v>
      </c>
      <c r="B38" s="52"/>
      <c r="C38" s="12"/>
      <c r="D38" s="18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</row>
    <row r="39" spans="1:58" ht="47.25" x14ac:dyDescent="0.25">
      <c r="A39" s="2" t="s">
        <v>49</v>
      </c>
      <c r="B39" s="27" t="s">
        <v>50</v>
      </c>
      <c r="C39" s="11"/>
      <c r="D39" s="14">
        <v>0.57999999999999996</v>
      </c>
      <c r="E39" s="14">
        <v>0.85</v>
      </c>
      <c r="F39" s="14">
        <v>1</v>
      </c>
      <c r="G39" s="11"/>
      <c r="H39" s="11"/>
      <c r="I39" s="11"/>
      <c r="J39" s="11"/>
      <c r="K39" s="14">
        <v>1</v>
      </c>
      <c r="L39" s="14">
        <v>1</v>
      </c>
      <c r="M39" s="14">
        <v>1</v>
      </c>
      <c r="N39" s="14">
        <v>0.92</v>
      </c>
      <c r="O39" s="14">
        <v>1</v>
      </c>
      <c r="P39" s="11"/>
      <c r="Q39" s="11"/>
      <c r="R39" s="14">
        <v>1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3">
        <f>43/50</f>
        <v>0.86</v>
      </c>
      <c r="AD39" s="11"/>
      <c r="AE39" s="13">
        <f>48/50</f>
        <v>0.96</v>
      </c>
      <c r="AF39" s="11"/>
      <c r="AG39" s="11"/>
      <c r="AH39" s="13">
        <f>77/79</f>
        <v>0.97468354430379744</v>
      </c>
      <c r="AI39" s="11"/>
      <c r="AJ39" s="11"/>
      <c r="AK39" s="11"/>
      <c r="AL39" s="11"/>
      <c r="AM39" s="11"/>
      <c r="AN39" s="11"/>
      <c r="AO39" s="13">
        <f>39/50</f>
        <v>0.78</v>
      </c>
      <c r="AP39" s="11"/>
      <c r="AQ39" s="11"/>
      <c r="AR39" s="13">
        <f>48/50</f>
        <v>0.96</v>
      </c>
      <c r="AS39" s="11"/>
      <c r="AT39" s="11"/>
      <c r="AU39" s="11"/>
      <c r="AV39" s="11"/>
      <c r="AW39" s="11"/>
      <c r="AX39" s="13">
        <f>39/50</f>
        <v>0.78</v>
      </c>
      <c r="AY39" s="14">
        <v>0.88</v>
      </c>
      <c r="AZ39" s="14">
        <v>0.68</v>
      </c>
      <c r="BA39" s="11"/>
      <c r="BB39" s="11"/>
      <c r="BC39" s="11"/>
      <c r="BD39" s="11"/>
      <c r="BE39" s="11"/>
      <c r="BF39" s="11"/>
    </row>
    <row r="40" spans="1:58" ht="47.25" x14ac:dyDescent="0.25">
      <c r="A40" s="2" t="s">
        <v>51</v>
      </c>
      <c r="B40" s="27" t="s">
        <v>52</v>
      </c>
      <c r="C40" s="11"/>
      <c r="D40" s="14">
        <v>0.84</v>
      </c>
      <c r="E40" s="14">
        <v>1</v>
      </c>
      <c r="F40" s="13">
        <f>48/50</f>
        <v>0.96</v>
      </c>
      <c r="G40" s="11"/>
      <c r="H40" s="11"/>
      <c r="I40" s="11"/>
      <c r="J40" s="11"/>
      <c r="K40" s="14">
        <v>1</v>
      </c>
      <c r="L40" s="14">
        <v>1</v>
      </c>
      <c r="M40" s="14">
        <v>1</v>
      </c>
      <c r="N40" s="14">
        <v>0.94</v>
      </c>
      <c r="O40" s="14">
        <v>1</v>
      </c>
      <c r="P40" s="11"/>
      <c r="Q40" s="11"/>
      <c r="R40" s="14">
        <v>1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3">
        <f>44/50</f>
        <v>0.88</v>
      </c>
      <c r="AD40" s="11"/>
      <c r="AE40" s="14">
        <v>1</v>
      </c>
      <c r="AF40" s="11"/>
      <c r="AG40" s="11"/>
      <c r="AH40" s="13">
        <v>1</v>
      </c>
      <c r="AI40" s="11"/>
      <c r="AJ40" s="11"/>
      <c r="AK40" s="11"/>
      <c r="AL40" s="11"/>
      <c r="AM40" s="11"/>
      <c r="AN40" s="11"/>
      <c r="AO40" s="13">
        <f>47/50</f>
        <v>0.94</v>
      </c>
      <c r="AP40" s="11"/>
      <c r="AQ40" s="11"/>
      <c r="AR40" s="14">
        <v>1</v>
      </c>
      <c r="AS40" s="11"/>
      <c r="AT40" s="11"/>
      <c r="AU40" s="11"/>
      <c r="AV40" s="11"/>
      <c r="AW40" s="11"/>
      <c r="AX40" s="13">
        <f>47/50</f>
        <v>0.94</v>
      </c>
      <c r="AY40" s="14">
        <v>0.94</v>
      </c>
      <c r="AZ40" s="14">
        <v>0.88</v>
      </c>
      <c r="BA40" s="11"/>
      <c r="BB40" s="11"/>
      <c r="BC40" s="11"/>
      <c r="BD40" s="11"/>
      <c r="BE40" s="11"/>
      <c r="BF40" s="11"/>
    </row>
    <row r="41" spans="1:58" x14ac:dyDescent="0.25">
      <c r="A41" s="52" t="s">
        <v>53</v>
      </c>
      <c r="B41" s="5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</row>
    <row r="42" spans="1:58" x14ac:dyDescent="0.25">
      <c r="A42" s="29" t="s">
        <v>54</v>
      </c>
      <c r="B42" s="27" t="s">
        <v>55</v>
      </c>
      <c r="C42" s="11"/>
      <c r="D42" s="17">
        <v>45</v>
      </c>
      <c r="E42" s="11">
        <v>30</v>
      </c>
      <c r="F42" s="11">
        <v>18</v>
      </c>
      <c r="G42" s="11"/>
      <c r="H42" s="11"/>
      <c r="I42" s="11"/>
      <c r="J42" s="11"/>
      <c r="K42" s="11">
        <v>15</v>
      </c>
      <c r="L42" s="11">
        <v>20</v>
      </c>
      <c r="M42" s="11">
        <v>20</v>
      </c>
      <c r="N42" s="11">
        <v>20</v>
      </c>
      <c r="O42" s="11">
        <v>14</v>
      </c>
      <c r="P42" s="11"/>
      <c r="Q42" s="11"/>
      <c r="R42" s="11">
        <v>15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>
        <v>18</v>
      </c>
      <c r="AD42" s="11"/>
      <c r="AE42" s="11">
        <v>15</v>
      </c>
      <c r="AF42" s="11"/>
      <c r="AG42" s="11"/>
      <c r="AH42" s="11">
        <v>10</v>
      </c>
      <c r="AI42" s="11"/>
      <c r="AJ42" s="11"/>
      <c r="AK42" s="11"/>
      <c r="AL42" s="11"/>
      <c r="AM42" s="11"/>
      <c r="AN42" s="11"/>
      <c r="AO42" s="11">
        <v>20</v>
      </c>
      <c r="AP42" s="11"/>
      <c r="AQ42" s="11"/>
      <c r="AR42" s="11">
        <v>15</v>
      </c>
      <c r="AS42" s="11"/>
      <c r="AT42" s="11"/>
      <c r="AU42" s="11"/>
      <c r="AV42" s="11"/>
      <c r="AW42" s="11"/>
      <c r="AX42" s="11">
        <v>20</v>
      </c>
      <c r="AY42" s="11">
        <v>10</v>
      </c>
      <c r="AZ42" s="11">
        <v>30</v>
      </c>
      <c r="BA42" s="11"/>
      <c r="BB42" s="11"/>
      <c r="BC42" s="11"/>
      <c r="BD42" s="11"/>
      <c r="BE42" s="11"/>
      <c r="BF42" s="11"/>
    </row>
    <row r="43" spans="1:58" ht="31.5" x14ac:dyDescent="0.25">
      <c r="A43" s="2" t="s">
        <v>56</v>
      </c>
      <c r="B43" s="27" t="s">
        <v>57</v>
      </c>
      <c r="C43" s="11"/>
      <c r="D43" s="11">
        <v>30</v>
      </c>
      <c r="E43" s="11">
        <v>30</v>
      </c>
      <c r="F43" s="11">
        <v>27</v>
      </c>
      <c r="G43" s="11"/>
      <c r="H43" s="11"/>
      <c r="I43" s="11"/>
      <c r="J43" s="11"/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/>
      <c r="Q43" s="11"/>
      <c r="R43" s="11">
        <v>0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>
        <v>4</v>
      </c>
      <c r="AD43" s="11"/>
      <c r="AE43" s="11">
        <v>5</v>
      </c>
      <c r="AF43" s="11"/>
      <c r="AG43" s="11"/>
      <c r="AH43" s="11">
        <v>5</v>
      </c>
      <c r="AI43" s="11"/>
      <c r="AJ43" s="11"/>
      <c r="AK43" s="11"/>
      <c r="AL43" s="11"/>
      <c r="AM43" s="11"/>
      <c r="AN43" s="11"/>
      <c r="AO43" s="11">
        <v>5</v>
      </c>
      <c r="AP43" s="11"/>
      <c r="AQ43" s="11"/>
      <c r="AR43" s="11">
        <v>5</v>
      </c>
      <c r="AS43" s="11"/>
      <c r="AT43" s="11"/>
      <c r="AU43" s="11"/>
      <c r="AV43" s="11"/>
      <c r="AW43" s="11"/>
      <c r="AX43" s="11">
        <v>5</v>
      </c>
      <c r="AY43" s="11">
        <v>5</v>
      </c>
      <c r="AZ43" s="11">
        <v>5</v>
      </c>
      <c r="BA43" s="11"/>
      <c r="BB43" s="11"/>
      <c r="BC43" s="11"/>
      <c r="BD43" s="11"/>
      <c r="BE43" s="11"/>
      <c r="BF43" s="11"/>
    </row>
    <row r="44" spans="1:58" ht="47.25" x14ac:dyDescent="0.25">
      <c r="A44" s="29" t="s">
        <v>58</v>
      </c>
      <c r="B44" s="27" t="s">
        <v>59</v>
      </c>
      <c r="C44" s="11"/>
      <c r="D44" s="14">
        <v>0</v>
      </c>
      <c r="E44" s="14">
        <v>0</v>
      </c>
      <c r="F44" s="14">
        <v>0</v>
      </c>
      <c r="G44" s="11"/>
      <c r="H44" s="11"/>
      <c r="I44" s="11"/>
      <c r="J44" s="11"/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1"/>
      <c r="Q44" s="11"/>
      <c r="R44" s="14">
        <v>0</v>
      </c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4">
        <v>0</v>
      </c>
      <c r="AD44" s="11"/>
      <c r="AE44" s="14">
        <v>0</v>
      </c>
      <c r="AF44" s="11"/>
      <c r="AG44" s="11"/>
      <c r="AH44" s="13">
        <v>0</v>
      </c>
      <c r="AI44" s="11"/>
      <c r="AJ44" s="11"/>
      <c r="AK44" s="11"/>
      <c r="AL44" s="11"/>
      <c r="AM44" s="11"/>
      <c r="AN44" s="11"/>
      <c r="AO44" s="14">
        <v>0</v>
      </c>
      <c r="AP44" s="11"/>
      <c r="AQ44" s="11"/>
      <c r="AR44" s="14">
        <v>0</v>
      </c>
      <c r="AS44" s="11"/>
      <c r="AT44" s="11"/>
      <c r="AU44" s="11"/>
      <c r="AV44" s="11"/>
      <c r="AW44" s="11"/>
      <c r="AX44" s="14">
        <v>0</v>
      </c>
      <c r="AY44" s="14">
        <v>0</v>
      </c>
      <c r="AZ44" s="14">
        <v>0</v>
      </c>
      <c r="BA44" s="11"/>
      <c r="BB44" s="11"/>
      <c r="BC44" s="11"/>
      <c r="BD44" s="11"/>
      <c r="BE44" s="11"/>
      <c r="BF44" s="11"/>
    </row>
    <row r="45" spans="1:58" x14ac:dyDescent="0.25">
      <c r="A45" s="52" t="s">
        <v>24</v>
      </c>
      <c r="B45" s="5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  <row r="46" spans="1:58" ht="47.25" x14ac:dyDescent="0.25">
      <c r="A46" s="2" t="s">
        <v>25</v>
      </c>
      <c r="B46" s="27" t="s">
        <v>60</v>
      </c>
      <c r="C46" s="11"/>
      <c r="D46" s="14">
        <v>1</v>
      </c>
      <c r="E46" s="14">
        <v>0.88</v>
      </c>
      <c r="F46" s="14">
        <v>1</v>
      </c>
      <c r="G46" s="11"/>
      <c r="H46" s="11"/>
      <c r="I46" s="11"/>
      <c r="J46" s="11"/>
      <c r="K46" s="14">
        <v>1</v>
      </c>
      <c r="L46" s="14">
        <v>0.88</v>
      </c>
      <c r="M46" s="14">
        <v>0.9</v>
      </c>
      <c r="N46" s="14">
        <v>0.88</v>
      </c>
      <c r="O46" s="14">
        <v>0.94</v>
      </c>
      <c r="P46" s="11"/>
      <c r="Q46" s="11"/>
      <c r="R46" s="14">
        <v>0.86</v>
      </c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3">
        <f>46/50</f>
        <v>0.92</v>
      </c>
      <c r="AD46" s="11"/>
      <c r="AE46" s="14">
        <v>1</v>
      </c>
      <c r="AF46" s="11"/>
      <c r="AG46" s="11"/>
      <c r="AH46" s="13">
        <f>78/79</f>
        <v>0.98734177215189878</v>
      </c>
      <c r="AI46" s="11"/>
      <c r="AJ46" s="11"/>
      <c r="AK46" s="11"/>
      <c r="AL46" s="11"/>
      <c r="AM46" s="11"/>
      <c r="AN46" s="11"/>
      <c r="AO46" s="13">
        <f>48/50</f>
        <v>0.96</v>
      </c>
      <c r="AP46" s="11"/>
      <c r="AQ46" s="11"/>
      <c r="AR46" s="14">
        <v>0.96</v>
      </c>
      <c r="AS46" s="11"/>
      <c r="AT46" s="11"/>
      <c r="AU46" s="11"/>
      <c r="AV46" s="11"/>
      <c r="AW46" s="11"/>
      <c r="AX46" s="13">
        <f>48/50</f>
        <v>0.96</v>
      </c>
      <c r="AY46" s="14">
        <v>0.92</v>
      </c>
      <c r="AZ46" s="14">
        <v>0.98</v>
      </c>
      <c r="BA46" s="11"/>
      <c r="BB46" s="11"/>
      <c r="BC46" s="11"/>
      <c r="BD46" s="11"/>
      <c r="BE46" s="11"/>
      <c r="BF46" s="11"/>
    </row>
    <row r="47" spans="1:58" ht="31.5" x14ac:dyDescent="0.25">
      <c r="A47" s="2" t="s">
        <v>27</v>
      </c>
      <c r="B47" s="27" t="s">
        <v>80</v>
      </c>
      <c r="C47" s="11"/>
      <c r="D47" s="14">
        <v>1</v>
      </c>
      <c r="E47" s="14">
        <v>0.95</v>
      </c>
      <c r="F47" s="14">
        <v>1</v>
      </c>
      <c r="G47" s="11"/>
      <c r="H47" s="11"/>
      <c r="I47" s="11"/>
      <c r="J47" s="11"/>
      <c r="K47" s="14">
        <v>1</v>
      </c>
      <c r="L47" s="14">
        <v>0.92</v>
      </c>
      <c r="M47" s="14">
        <v>0.94</v>
      </c>
      <c r="N47" s="14">
        <v>0.84</v>
      </c>
      <c r="O47" s="14">
        <v>0.88</v>
      </c>
      <c r="P47" s="11"/>
      <c r="Q47" s="11"/>
      <c r="R47" s="14">
        <v>0.88</v>
      </c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3">
        <f>47/50</f>
        <v>0.94</v>
      </c>
      <c r="AD47" s="11"/>
      <c r="AE47" s="14">
        <v>1</v>
      </c>
      <c r="AF47" s="11"/>
      <c r="AG47" s="11"/>
      <c r="AH47" s="13">
        <v>1</v>
      </c>
      <c r="AI47" s="11"/>
      <c r="AJ47" s="11"/>
      <c r="AK47" s="11"/>
      <c r="AL47" s="11"/>
      <c r="AM47" s="11"/>
      <c r="AN47" s="11"/>
      <c r="AO47" s="13">
        <f>48/50</f>
        <v>0.96</v>
      </c>
      <c r="AP47" s="11"/>
      <c r="AQ47" s="11"/>
      <c r="AR47" s="14">
        <v>0.96</v>
      </c>
      <c r="AS47" s="11"/>
      <c r="AT47" s="11"/>
      <c r="AU47" s="11"/>
      <c r="AV47" s="11"/>
      <c r="AW47" s="11"/>
      <c r="AX47" s="13">
        <f>48/50</f>
        <v>0.96</v>
      </c>
      <c r="AY47" s="14">
        <v>0.9</v>
      </c>
      <c r="AZ47" s="14">
        <v>1</v>
      </c>
      <c r="BA47" s="11"/>
      <c r="BB47" s="11"/>
      <c r="BC47" s="11"/>
      <c r="BD47" s="11"/>
      <c r="BE47" s="11"/>
      <c r="BF47" s="11"/>
    </row>
    <row r="48" spans="1:58" ht="21.75" customHeight="1" x14ac:dyDescent="0.25">
      <c r="A48" s="52" t="s">
        <v>29</v>
      </c>
      <c r="B48" s="5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</row>
    <row r="49" spans="1:58" ht="31.5" x14ac:dyDescent="0.25">
      <c r="A49" s="2" t="s">
        <v>61</v>
      </c>
      <c r="B49" s="27" t="s">
        <v>62</v>
      </c>
      <c r="C49" s="11"/>
      <c r="D49" s="14">
        <v>1</v>
      </c>
      <c r="E49" s="14">
        <v>1</v>
      </c>
      <c r="F49" s="14">
        <v>1</v>
      </c>
      <c r="G49" s="11"/>
      <c r="H49" s="11"/>
      <c r="I49" s="11"/>
      <c r="J49" s="11"/>
      <c r="K49" s="14">
        <v>1</v>
      </c>
      <c r="L49" s="14">
        <v>1</v>
      </c>
      <c r="M49" s="14">
        <v>1</v>
      </c>
      <c r="N49" s="14">
        <v>1</v>
      </c>
      <c r="O49" s="14">
        <v>1</v>
      </c>
      <c r="P49" s="11"/>
      <c r="Q49" s="11"/>
      <c r="R49" s="14">
        <v>0.94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4">
        <v>1</v>
      </c>
      <c r="AD49" s="11"/>
      <c r="AE49" s="14">
        <v>1</v>
      </c>
      <c r="AF49" s="11"/>
      <c r="AG49" s="11"/>
      <c r="AH49" s="13">
        <v>1</v>
      </c>
      <c r="AI49" s="11"/>
      <c r="AJ49" s="11"/>
      <c r="AK49" s="11"/>
      <c r="AL49" s="11"/>
      <c r="AM49" s="11"/>
      <c r="AN49" s="11"/>
      <c r="AO49" s="14">
        <v>1</v>
      </c>
      <c r="AP49" s="11"/>
      <c r="AQ49" s="11"/>
      <c r="AR49" s="14">
        <v>1</v>
      </c>
      <c r="AS49" s="11"/>
      <c r="AT49" s="11"/>
      <c r="AU49" s="11"/>
      <c r="AV49" s="11"/>
      <c r="AW49" s="11"/>
      <c r="AX49" s="14">
        <v>1</v>
      </c>
      <c r="AY49" s="14">
        <v>1</v>
      </c>
      <c r="AZ49" s="14">
        <v>1</v>
      </c>
      <c r="BA49" s="11"/>
      <c r="BB49" s="11"/>
      <c r="BC49" s="11"/>
      <c r="BD49" s="11"/>
      <c r="BE49" s="11"/>
      <c r="BF49" s="11"/>
    </row>
    <row r="50" spans="1:58" ht="31.5" x14ac:dyDescent="0.25">
      <c r="A50" s="2" t="s">
        <v>63</v>
      </c>
      <c r="B50" s="27" t="s">
        <v>64</v>
      </c>
      <c r="C50" s="11"/>
      <c r="D50" s="14">
        <v>1</v>
      </c>
      <c r="E50" s="14">
        <v>1</v>
      </c>
      <c r="F50" s="14">
        <v>1</v>
      </c>
      <c r="G50" s="11"/>
      <c r="H50" s="11"/>
      <c r="I50" s="11"/>
      <c r="J50" s="11"/>
      <c r="K50" s="14">
        <v>1</v>
      </c>
      <c r="L50" s="14">
        <v>1</v>
      </c>
      <c r="M50" s="14">
        <v>1</v>
      </c>
      <c r="N50" s="14">
        <v>1</v>
      </c>
      <c r="O50" s="14">
        <v>1</v>
      </c>
      <c r="P50" s="11"/>
      <c r="Q50" s="11"/>
      <c r="R50" s="14">
        <v>0.94</v>
      </c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4">
        <v>1</v>
      </c>
      <c r="AD50" s="11"/>
      <c r="AE50" s="14">
        <v>1</v>
      </c>
      <c r="AF50" s="11"/>
      <c r="AG50" s="11"/>
      <c r="AH50" s="13">
        <v>1</v>
      </c>
      <c r="AI50" s="11"/>
      <c r="AJ50" s="11"/>
      <c r="AK50" s="11"/>
      <c r="AL50" s="11"/>
      <c r="AM50" s="11"/>
      <c r="AN50" s="11"/>
      <c r="AO50" s="14">
        <v>1</v>
      </c>
      <c r="AP50" s="11"/>
      <c r="AQ50" s="11"/>
      <c r="AR50" s="14">
        <v>1</v>
      </c>
      <c r="AS50" s="11"/>
      <c r="AT50" s="11"/>
      <c r="AU50" s="11"/>
      <c r="AV50" s="11"/>
      <c r="AW50" s="11"/>
      <c r="AX50" s="14">
        <v>1</v>
      </c>
      <c r="AY50" s="14">
        <v>1</v>
      </c>
      <c r="AZ50" s="14">
        <v>1</v>
      </c>
      <c r="BA50" s="11"/>
      <c r="BB50" s="11"/>
      <c r="BC50" s="11"/>
      <c r="BD50" s="11"/>
      <c r="BE50" s="11"/>
      <c r="BF50" s="11"/>
    </row>
    <row r="51" spans="1:58" ht="47.25" x14ac:dyDescent="0.25">
      <c r="A51" s="2" t="s">
        <v>65</v>
      </c>
      <c r="B51" s="27" t="s">
        <v>66</v>
      </c>
      <c r="C51" s="11"/>
      <c r="D51" s="14">
        <v>1</v>
      </c>
      <c r="E51" s="14">
        <v>1</v>
      </c>
      <c r="F51" s="14">
        <v>1</v>
      </c>
      <c r="G51" s="11"/>
      <c r="H51" s="11"/>
      <c r="I51" s="11"/>
      <c r="J51" s="11"/>
      <c r="K51" s="14">
        <v>1</v>
      </c>
      <c r="L51" s="14">
        <v>1</v>
      </c>
      <c r="M51" s="14">
        <v>1</v>
      </c>
      <c r="N51" s="14">
        <v>1</v>
      </c>
      <c r="O51" s="14">
        <v>1</v>
      </c>
      <c r="P51" s="11"/>
      <c r="Q51" s="11"/>
      <c r="R51" s="14">
        <v>0.9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4">
        <v>1</v>
      </c>
      <c r="AD51" s="11"/>
      <c r="AE51" s="14">
        <v>1</v>
      </c>
      <c r="AF51" s="11"/>
      <c r="AG51" s="11"/>
      <c r="AH51" s="13">
        <v>1</v>
      </c>
      <c r="AI51" s="11"/>
      <c r="AJ51" s="11"/>
      <c r="AK51" s="11"/>
      <c r="AL51" s="11"/>
      <c r="AM51" s="11"/>
      <c r="AN51" s="11"/>
      <c r="AO51" s="14">
        <v>1</v>
      </c>
      <c r="AP51" s="11"/>
      <c r="AQ51" s="11"/>
      <c r="AR51" s="14">
        <v>1</v>
      </c>
      <c r="AS51" s="11"/>
      <c r="AT51" s="11"/>
      <c r="AU51" s="11"/>
      <c r="AV51" s="11"/>
      <c r="AW51" s="11"/>
      <c r="AX51" s="14">
        <v>1</v>
      </c>
      <c r="AY51" s="14">
        <v>0.94</v>
      </c>
      <c r="AZ51" s="14">
        <v>0.98</v>
      </c>
      <c r="BA51" s="11"/>
      <c r="BB51" s="11"/>
      <c r="BC51" s="11"/>
      <c r="BD51" s="11"/>
      <c r="BE51" s="11"/>
      <c r="BF51" s="11"/>
    </row>
    <row r="52" spans="1:58" ht="31.5" x14ac:dyDescent="0.25">
      <c r="A52" s="2" t="s">
        <v>67</v>
      </c>
      <c r="B52" s="27" t="s">
        <v>68</v>
      </c>
      <c r="C52" s="11"/>
      <c r="D52" s="14">
        <v>1</v>
      </c>
      <c r="E52" s="14">
        <v>1</v>
      </c>
      <c r="F52" s="14">
        <v>1</v>
      </c>
      <c r="G52" s="11"/>
      <c r="H52" s="11"/>
      <c r="I52" s="11"/>
      <c r="J52" s="11"/>
      <c r="K52" s="14">
        <v>1</v>
      </c>
      <c r="L52" s="14">
        <v>1</v>
      </c>
      <c r="M52" s="14">
        <v>1</v>
      </c>
      <c r="N52" s="14">
        <v>1</v>
      </c>
      <c r="O52" s="14">
        <v>1</v>
      </c>
      <c r="P52" s="11"/>
      <c r="Q52" s="11"/>
      <c r="R52" s="14">
        <v>1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4">
        <v>1</v>
      </c>
      <c r="AD52" s="11"/>
      <c r="AE52" s="14">
        <v>1</v>
      </c>
      <c r="AF52" s="11"/>
      <c r="AG52" s="11"/>
      <c r="AH52" s="13">
        <v>1</v>
      </c>
      <c r="AI52" s="11"/>
      <c r="AJ52" s="11"/>
      <c r="AK52" s="11"/>
      <c r="AL52" s="11"/>
      <c r="AM52" s="11"/>
      <c r="AN52" s="11"/>
      <c r="AO52" s="14">
        <v>1</v>
      </c>
      <c r="AP52" s="11"/>
      <c r="AQ52" s="11"/>
      <c r="AR52" s="14">
        <v>1</v>
      </c>
      <c r="AS52" s="11"/>
      <c r="AT52" s="11"/>
      <c r="AU52" s="11"/>
      <c r="AV52" s="11"/>
      <c r="AW52" s="11"/>
      <c r="AX52" s="14">
        <v>1</v>
      </c>
      <c r="AY52" s="14">
        <v>1</v>
      </c>
      <c r="AZ52" s="14">
        <v>1</v>
      </c>
      <c r="BA52" s="11"/>
      <c r="BB52" s="11"/>
      <c r="BC52" s="11"/>
      <c r="BD52" s="11"/>
      <c r="BE52" s="11"/>
      <c r="BF52" s="11"/>
    </row>
    <row r="53" spans="1:58" ht="31.5" x14ac:dyDescent="0.25">
      <c r="A53" s="2" t="s">
        <v>69</v>
      </c>
      <c r="B53" s="27" t="s">
        <v>70</v>
      </c>
      <c r="C53" s="11"/>
      <c r="D53" s="14">
        <v>0.9</v>
      </c>
      <c r="E53" s="14">
        <v>0.8</v>
      </c>
      <c r="F53" s="14">
        <v>1</v>
      </c>
      <c r="G53" s="11"/>
      <c r="H53" s="11"/>
      <c r="I53" s="11"/>
      <c r="J53" s="11"/>
      <c r="K53" s="14">
        <v>1</v>
      </c>
      <c r="L53" s="14">
        <v>1</v>
      </c>
      <c r="M53" s="14">
        <v>1</v>
      </c>
      <c r="N53" s="14">
        <v>1</v>
      </c>
      <c r="O53" s="14">
        <v>1</v>
      </c>
      <c r="P53" s="11"/>
      <c r="Q53" s="11"/>
      <c r="R53" s="14">
        <v>0.94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4">
        <v>1</v>
      </c>
      <c r="AD53" s="11"/>
      <c r="AE53" s="14">
        <v>1</v>
      </c>
      <c r="AF53" s="11"/>
      <c r="AG53" s="11"/>
      <c r="AH53" s="13">
        <v>1</v>
      </c>
      <c r="AI53" s="11"/>
      <c r="AJ53" s="11"/>
      <c r="AK53" s="11"/>
      <c r="AL53" s="11"/>
      <c r="AM53" s="11"/>
      <c r="AN53" s="11"/>
      <c r="AO53" s="13">
        <f>44/50</f>
        <v>0.88</v>
      </c>
      <c r="AP53" s="11"/>
      <c r="AQ53" s="11"/>
      <c r="AR53" s="14">
        <v>1</v>
      </c>
      <c r="AS53" s="11"/>
      <c r="AT53" s="11"/>
      <c r="AU53" s="11"/>
      <c r="AV53" s="11"/>
      <c r="AW53" s="11"/>
      <c r="AX53" s="13">
        <f>44/50</f>
        <v>0.88</v>
      </c>
      <c r="AY53" s="14">
        <v>0.94</v>
      </c>
      <c r="AZ53" s="14">
        <v>0.92</v>
      </c>
      <c r="BA53" s="11"/>
      <c r="BB53" s="11"/>
      <c r="BC53" s="11"/>
      <c r="BD53" s="11"/>
      <c r="BE53" s="11"/>
      <c r="BF53" s="11"/>
    </row>
    <row r="54" spans="1:58" ht="31.5" x14ac:dyDescent="0.25">
      <c r="A54" s="2" t="s">
        <v>79</v>
      </c>
      <c r="B54" s="27" t="s">
        <v>71</v>
      </c>
      <c r="C54" s="11"/>
      <c r="D54" s="14">
        <v>1</v>
      </c>
      <c r="E54" s="14">
        <v>1</v>
      </c>
      <c r="F54" s="14">
        <v>1</v>
      </c>
      <c r="G54" s="11"/>
      <c r="H54" s="11"/>
      <c r="I54" s="11"/>
      <c r="J54" s="11"/>
      <c r="K54" s="14">
        <v>1</v>
      </c>
      <c r="L54" s="14">
        <v>1</v>
      </c>
      <c r="M54" s="14">
        <v>1</v>
      </c>
      <c r="N54" s="14">
        <v>1</v>
      </c>
      <c r="O54" s="14">
        <v>1</v>
      </c>
      <c r="P54" s="11"/>
      <c r="Q54" s="11"/>
      <c r="R54" s="14">
        <v>1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4">
        <v>1</v>
      </c>
      <c r="AD54" s="11"/>
      <c r="AE54" s="14">
        <v>1</v>
      </c>
      <c r="AF54" s="11"/>
      <c r="AG54" s="11"/>
      <c r="AH54" s="13">
        <v>1</v>
      </c>
      <c r="AI54" s="11"/>
      <c r="AJ54" s="11"/>
      <c r="AK54" s="11"/>
      <c r="AL54" s="11"/>
      <c r="AM54" s="11"/>
      <c r="AN54" s="11"/>
      <c r="AO54" s="14">
        <v>1</v>
      </c>
      <c r="AP54" s="11"/>
      <c r="AQ54" s="11"/>
      <c r="AR54" s="14">
        <v>1</v>
      </c>
      <c r="AS54" s="11"/>
      <c r="AT54" s="11"/>
      <c r="AU54" s="11"/>
      <c r="AV54" s="11"/>
      <c r="AW54" s="11"/>
      <c r="AX54" s="14">
        <v>1</v>
      </c>
      <c r="AY54" s="14">
        <v>1</v>
      </c>
      <c r="AZ54" s="14">
        <v>1</v>
      </c>
      <c r="BA54" s="11"/>
      <c r="BB54" s="11"/>
      <c r="BC54" s="11"/>
      <c r="BD54" s="11"/>
      <c r="BE54" s="11"/>
      <c r="BF54" s="11"/>
    </row>
    <row r="55" spans="1:58" ht="47.25" x14ac:dyDescent="0.25">
      <c r="A55" s="2" t="s">
        <v>72</v>
      </c>
      <c r="B55" s="27" t="s">
        <v>73</v>
      </c>
      <c r="C55" s="11"/>
      <c r="D55" s="14">
        <v>1</v>
      </c>
      <c r="E55" s="14">
        <v>1</v>
      </c>
      <c r="F55" s="14">
        <v>1</v>
      </c>
      <c r="G55" s="11"/>
      <c r="H55" s="11"/>
      <c r="I55" s="11"/>
      <c r="J55" s="11"/>
      <c r="K55" s="14">
        <v>1</v>
      </c>
      <c r="L55" s="14">
        <v>1</v>
      </c>
      <c r="M55" s="14">
        <v>1</v>
      </c>
      <c r="N55" s="14">
        <v>1</v>
      </c>
      <c r="O55" s="14">
        <v>1</v>
      </c>
      <c r="P55" s="11"/>
      <c r="Q55" s="11"/>
      <c r="R55" s="14">
        <v>1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4">
        <v>1</v>
      </c>
      <c r="AD55" s="11"/>
      <c r="AE55" s="14">
        <v>1</v>
      </c>
      <c r="AF55" s="11"/>
      <c r="AG55" s="11"/>
      <c r="AH55" s="13">
        <f>78/79</f>
        <v>0.98734177215189878</v>
      </c>
      <c r="AI55" s="11"/>
      <c r="AJ55" s="11"/>
      <c r="AK55" s="11"/>
      <c r="AL55" s="11"/>
      <c r="AM55" s="11"/>
      <c r="AN55" s="11"/>
      <c r="AO55" s="13">
        <f>48/50</f>
        <v>0.96</v>
      </c>
      <c r="AP55" s="11"/>
      <c r="AQ55" s="11"/>
      <c r="AR55" s="14">
        <v>1</v>
      </c>
      <c r="AS55" s="11"/>
      <c r="AT55" s="11"/>
      <c r="AU55" s="11"/>
      <c r="AV55" s="11"/>
      <c r="AW55" s="11"/>
      <c r="AX55" s="13">
        <f>48/50</f>
        <v>0.96</v>
      </c>
      <c r="AY55" s="14">
        <v>1</v>
      </c>
      <c r="AZ55" s="14">
        <v>1</v>
      </c>
      <c r="BA55" s="11"/>
      <c r="BB55" s="11"/>
      <c r="BC55" s="11"/>
      <c r="BD55" s="11"/>
      <c r="BE55" s="11"/>
      <c r="BF55" s="11"/>
    </row>
    <row r="56" spans="1:58" ht="31.5" x14ac:dyDescent="0.25">
      <c r="A56" s="2" t="s">
        <v>74</v>
      </c>
      <c r="B56" s="27" t="s">
        <v>75</v>
      </c>
      <c r="C56" s="11"/>
      <c r="D56" s="14">
        <v>1</v>
      </c>
      <c r="E56" s="14">
        <v>1</v>
      </c>
      <c r="F56" s="14">
        <v>1</v>
      </c>
      <c r="G56" s="11"/>
      <c r="H56" s="11"/>
      <c r="I56" s="11"/>
      <c r="J56" s="11"/>
      <c r="K56" s="14">
        <v>1</v>
      </c>
      <c r="L56" s="14">
        <v>1</v>
      </c>
      <c r="M56" s="14">
        <v>1</v>
      </c>
      <c r="N56" s="14">
        <v>1</v>
      </c>
      <c r="O56" s="14">
        <v>1</v>
      </c>
      <c r="P56" s="11"/>
      <c r="Q56" s="11"/>
      <c r="R56" s="14">
        <v>0.98</v>
      </c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4">
        <v>1</v>
      </c>
      <c r="AD56" s="11"/>
      <c r="AE56" s="14">
        <v>1</v>
      </c>
      <c r="AF56" s="11"/>
      <c r="AG56" s="11"/>
      <c r="AH56" s="13">
        <v>1</v>
      </c>
      <c r="AI56" s="11"/>
      <c r="AJ56" s="11"/>
      <c r="AK56" s="11"/>
      <c r="AL56" s="11"/>
      <c r="AM56" s="11"/>
      <c r="AN56" s="11"/>
      <c r="AO56" s="14">
        <v>1</v>
      </c>
      <c r="AP56" s="11"/>
      <c r="AQ56" s="11"/>
      <c r="AR56" s="14">
        <v>1</v>
      </c>
      <c r="AS56" s="11"/>
      <c r="AT56" s="11"/>
      <c r="AU56" s="11"/>
      <c r="AV56" s="11"/>
      <c r="AW56" s="11"/>
      <c r="AX56" s="14">
        <v>1</v>
      </c>
      <c r="AY56" s="14">
        <v>1</v>
      </c>
      <c r="AZ56" s="14">
        <v>1</v>
      </c>
      <c r="BA56" s="11"/>
      <c r="BB56" s="11"/>
      <c r="BC56" s="11"/>
      <c r="BD56" s="11"/>
      <c r="BE56" s="11"/>
      <c r="BF56" s="11"/>
    </row>
  </sheetData>
  <sheetProtection password="DF74" sheet="1" objects="1" scenarios="1" selectLockedCells="1" selectUnlockedCells="1"/>
  <mergeCells count="16">
    <mergeCell ref="A41:B41"/>
    <mergeCell ref="A45:B45"/>
    <mergeCell ref="A48:B48"/>
    <mergeCell ref="A1:B1"/>
    <mergeCell ref="A20:B20"/>
    <mergeCell ref="A23:B23"/>
    <mergeCell ref="A29:B29"/>
    <mergeCell ref="A30:B30"/>
    <mergeCell ref="A32:B32"/>
    <mergeCell ref="A38:B38"/>
    <mergeCell ref="A2:B2"/>
    <mergeCell ref="A3:B3"/>
    <mergeCell ref="A4:B4"/>
    <mergeCell ref="A6:B6"/>
    <mergeCell ref="A12:B12"/>
    <mergeCell ref="A16:B16"/>
  </mergeCells>
  <hyperlinks>
    <hyperlink ref="A7" r:id="rId1" display="http://www.bus.gov.ru/"/>
    <hyperlink ref="A33" r:id="rId2" display="http://www.bus.gov.ru/"/>
  </hyperlinks>
  <pageMargins left="0.39370078740157483" right="0.39370078740157483" top="0.39370078740157483" bottom="0.39370078740157483" header="0" footer="3.9370078740157481"/>
  <pageSetup paperSize="9" scale="64" fitToHeight="0" orientation="landscape" r:id="rId3"/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6"/>
  <sheetViews>
    <sheetView view="pageBreakPreview" topLeftCell="A4" zoomScale="55" zoomScaleNormal="100" zoomScaleSheetLayoutView="55" workbookViewId="0">
      <pane xSplit="2" topLeftCell="C1" activePane="topRight" state="frozen"/>
      <selection activeCell="A2" sqref="A2"/>
      <selection pane="topRight" activeCell="T26" sqref="T26"/>
    </sheetView>
  </sheetViews>
  <sheetFormatPr defaultRowHeight="15.75" x14ac:dyDescent="0.25"/>
  <cols>
    <col min="1" max="1" width="60.140625" style="1" customWidth="1"/>
    <col min="2" max="2" width="15.85546875" style="1" customWidth="1"/>
    <col min="3" max="3" width="10.85546875" style="3" bestFit="1" customWidth="1"/>
    <col min="4" max="6" width="7.42578125" style="3" bestFit="1" customWidth="1"/>
    <col min="7" max="7" width="5" style="3" hidden="1" customWidth="1"/>
    <col min="8" max="8" width="10" style="3" hidden="1" customWidth="1"/>
    <col min="9" max="10" width="5" style="3" hidden="1" customWidth="1"/>
    <col min="11" max="11" width="7.42578125" style="3" bestFit="1" customWidth="1"/>
    <col min="12" max="15" width="7.7109375" style="3" bestFit="1" customWidth="1"/>
    <col min="16" max="16" width="5" style="3" hidden="1" customWidth="1"/>
    <col min="17" max="17" width="7" style="3" hidden="1" customWidth="1"/>
    <col min="18" max="18" width="7.7109375" style="3" bestFit="1" customWidth="1"/>
    <col min="19" max="19" width="5" style="3" hidden="1" customWidth="1"/>
    <col min="20" max="20" width="7" style="3" customWidth="1"/>
    <col min="21" max="25" width="5" style="3" hidden="1" customWidth="1"/>
    <col min="26" max="26" width="7" style="3" hidden="1" customWidth="1"/>
    <col min="27" max="27" width="6.85546875" style="3" hidden="1" customWidth="1"/>
    <col min="28" max="28" width="7" style="3" bestFit="1" customWidth="1"/>
    <col min="29" max="30" width="7.7109375" style="3" bestFit="1" customWidth="1"/>
    <col min="31" max="31" width="7.7109375" style="3" customWidth="1"/>
    <col min="32" max="32" width="5" style="3" hidden="1" customWidth="1"/>
    <col min="33" max="33" width="7" style="3" bestFit="1" customWidth="1"/>
    <col min="34" max="35" width="7.7109375" style="3" bestFit="1" customWidth="1"/>
    <col min="36" max="37" width="7" style="3" bestFit="1" customWidth="1"/>
    <col min="38" max="38" width="7" style="3" hidden="1" customWidth="1"/>
    <col min="39" max="40" width="5" style="3" hidden="1" customWidth="1"/>
    <col min="41" max="41" width="7.7109375" style="3" bestFit="1" customWidth="1"/>
    <col min="42" max="42" width="5" style="3" hidden="1" customWidth="1"/>
    <col min="43" max="43" width="7" style="3" bestFit="1" customWidth="1"/>
    <col min="44" max="44" width="7.7109375" style="3" bestFit="1" customWidth="1"/>
    <col min="45" max="45" width="5" style="3" hidden="1" customWidth="1"/>
    <col min="46" max="47" width="7" style="3" bestFit="1" customWidth="1"/>
    <col min="48" max="48" width="7.42578125" style="3" bestFit="1" customWidth="1"/>
    <col min="49" max="49" width="7" style="3" bestFit="1" customWidth="1"/>
    <col min="50" max="52" width="7.7109375" style="3" bestFit="1" customWidth="1"/>
    <col min="53" max="55" width="7" style="3" hidden="1" customWidth="1"/>
    <col min="56" max="56" width="7.7109375" style="3" bestFit="1" customWidth="1"/>
    <col min="57" max="57" width="7" style="3" bestFit="1" customWidth="1"/>
    <col min="58" max="58" width="5" style="3" hidden="1" customWidth="1"/>
    <col min="59" max="16384" width="9.140625" style="1"/>
  </cols>
  <sheetData>
    <row r="1" spans="1:58" ht="140.25" customHeight="1" x14ac:dyDescent="0.25">
      <c r="A1" s="53" t="s">
        <v>196</v>
      </c>
      <c r="B1" s="54"/>
      <c r="C1" s="21" t="s">
        <v>194</v>
      </c>
      <c r="D1" s="33" t="s">
        <v>164</v>
      </c>
      <c r="E1" s="20" t="s">
        <v>184</v>
      </c>
      <c r="F1" s="20" t="s">
        <v>165</v>
      </c>
      <c r="G1" s="20" t="s">
        <v>166</v>
      </c>
      <c r="H1" s="20" t="s">
        <v>86</v>
      </c>
      <c r="I1" s="20" t="s">
        <v>185</v>
      </c>
      <c r="J1" s="20" t="s">
        <v>187</v>
      </c>
      <c r="K1" s="20" t="s">
        <v>167</v>
      </c>
      <c r="L1" s="20" t="s">
        <v>168</v>
      </c>
      <c r="M1" s="20" t="s">
        <v>169</v>
      </c>
      <c r="N1" s="20" t="s">
        <v>170</v>
      </c>
      <c r="O1" s="20" t="s">
        <v>171</v>
      </c>
      <c r="P1" s="20" t="s">
        <v>186</v>
      </c>
      <c r="Q1" s="20" t="s">
        <v>174</v>
      </c>
      <c r="R1" s="20" t="s">
        <v>172</v>
      </c>
      <c r="S1" s="20" t="s">
        <v>173</v>
      </c>
      <c r="T1" s="33" t="s">
        <v>175</v>
      </c>
      <c r="U1" s="20" t="s">
        <v>176</v>
      </c>
      <c r="V1" s="20" t="s">
        <v>177</v>
      </c>
      <c r="W1" s="20" t="s">
        <v>189</v>
      </c>
      <c r="X1" s="20" t="s">
        <v>188</v>
      </c>
      <c r="Y1" s="20" t="s">
        <v>190</v>
      </c>
      <c r="Z1" s="20" t="s">
        <v>191</v>
      </c>
      <c r="AA1" s="20" t="s">
        <v>192</v>
      </c>
      <c r="AB1" s="20" t="s">
        <v>142</v>
      </c>
      <c r="AC1" s="20" t="s">
        <v>143</v>
      </c>
      <c r="AD1" s="20" t="s">
        <v>144</v>
      </c>
      <c r="AE1" s="20" t="s">
        <v>139</v>
      </c>
      <c r="AF1" s="20" t="s">
        <v>153</v>
      </c>
      <c r="AG1" s="33" t="s">
        <v>179</v>
      </c>
      <c r="AH1" s="20" t="s">
        <v>145</v>
      </c>
      <c r="AI1" s="33" t="s">
        <v>154</v>
      </c>
      <c r="AJ1" s="33" t="s">
        <v>155</v>
      </c>
      <c r="AK1" s="33" t="s">
        <v>178</v>
      </c>
      <c r="AL1" s="20" t="s">
        <v>180</v>
      </c>
      <c r="AM1" s="20" t="s">
        <v>156</v>
      </c>
      <c r="AN1" s="20" t="s">
        <v>163</v>
      </c>
      <c r="AO1" s="20" t="s">
        <v>140</v>
      </c>
      <c r="AP1" s="20" t="s">
        <v>157</v>
      </c>
      <c r="AQ1" s="33" t="s">
        <v>181</v>
      </c>
      <c r="AR1" s="20" t="s">
        <v>146</v>
      </c>
      <c r="AS1" s="20" t="s">
        <v>147</v>
      </c>
      <c r="AT1" s="33" t="s">
        <v>148</v>
      </c>
      <c r="AU1" s="33" t="s">
        <v>182</v>
      </c>
      <c r="AV1" s="33" t="s">
        <v>149</v>
      </c>
      <c r="AW1" s="33" t="s">
        <v>150</v>
      </c>
      <c r="AX1" s="20" t="s">
        <v>151</v>
      </c>
      <c r="AY1" s="20" t="s">
        <v>152</v>
      </c>
      <c r="AZ1" s="20" t="s">
        <v>183</v>
      </c>
      <c r="BA1" s="20" t="s">
        <v>141</v>
      </c>
      <c r="BB1" s="20" t="s">
        <v>158</v>
      </c>
      <c r="BC1" s="20" t="s">
        <v>159</v>
      </c>
      <c r="BD1" s="20" t="s">
        <v>160</v>
      </c>
      <c r="BE1" s="33" t="s">
        <v>161</v>
      </c>
      <c r="BF1" s="20" t="s">
        <v>162</v>
      </c>
    </row>
    <row r="2" spans="1:58" ht="20.25" x14ac:dyDescent="0.3">
      <c r="A2" s="57" t="s">
        <v>78</v>
      </c>
      <c r="B2" s="57"/>
      <c r="C2" s="31">
        <f>C4+C30</f>
        <v>2797</v>
      </c>
      <c r="D2" s="24">
        <f>(D5+D31)/2</f>
        <v>0.98335227272727277</v>
      </c>
      <c r="E2" s="24">
        <f t="shared" ref="E2:AZ2" si="0">(E5+E31)/2</f>
        <v>0.73909090909090902</v>
      </c>
      <c r="F2" s="24">
        <f t="shared" si="0"/>
        <v>0.99696746880570419</v>
      </c>
      <c r="G2" s="24"/>
      <c r="H2" s="24"/>
      <c r="I2" s="24"/>
      <c r="J2" s="24"/>
      <c r="K2" s="24">
        <f t="shared" si="0"/>
        <v>0.76988636363636365</v>
      </c>
      <c r="L2" s="24">
        <f>L31</f>
        <v>0.98750000000000004</v>
      </c>
      <c r="M2" s="24">
        <f t="shared" ref="M2:O2" si="1">M31</f>
        <v>0.99</v>
      </c>
      <c r="N2" s="24">
        <f t="shared" si="1"/>
        <v>0.78625</v>
      </c>
      <c r="O2" s="24">
        <f t="shared" si="1"/>
        <v>0.80125000000000002</v>
      </c>
      <c r="P2" s="24"/>
      <c r="Q2" s="24"/>
      <c r="R2" s="24">
        <f>R31</f>
        <v>0.77749999999999997</v>
      </c>
      <c r="S2" s="24"/>
      <c r="T2" s="24">
        <f t="shared" ref="T2" si="2">T31</f>
        <v>0.80500000000000005</v>
      </c>
      <c r="U2" s="24"/>
      <c r="V2" s="24"/>
      <c r="W2" s="24"/>
      <c r="X2" s="24"/>
      <c r="Y2" s="24"/>
      <c r="Z2" s="24"/>
      <c r="AA2" s="24"/>
      <c r="AB2" s="24">
        <f t="shared" ref="AB2" si="3">(AB5+AB31)/2</f>
        <v>0.97943181818181824</v>
      </c>
      <c r="AC2" s="24">
        <f t="shared" si="0"/>
        <v>0.96022727272727271</v>
      </c>
      <c r="AD2" s="24"/>
      <c r="AE2" s="24">
        <f t="shared" si="0"/>
        <v>0.99812499999999993</v>
      </c>
      <c r="AF2" s="24"/>
      <c r="AG2" s="24">
        <f>AG5</f>
        <v>0.99818181818181817</v>
      </c>
      <c r="AH2" s="24">
        <f t="shared" si="0"/>
        <v>0.99374355973428186</v>
      </c>
      <c r="AI2" s="24">
        <f>AI5</f>
        <v>0.95727272727272716</v>
      </c>
      <c r="AJ2" s="24">
        <f t="shared" si="0"/>
        <v>0.98653624856156508</v>
      </c>
      <c r="AK2" s="24">
        <f t="shared" si="0"/>
        <v>0.99642476985040274</v>
      </c>
      <c r="AL2" s="24"/>
      <c r="AM2" s="24"/>
      <c r="AN2" s="24"/>
      <c r="AO2" s="24">
        <f t="shared" si="0"/>
        <v>0.96374999999999988</v>
      </c>
      <c r="AP2" s="24"/>
      <c r="AQ2" s="24">
        <f t="shared" si="0"/>
        <v>0.97943181818181824</v>
      </c>
      <c r="AR2" s="24">
        <f t="shared" si="0"/>
        <v>0.97562499999999996</v>
      </c>
      <c r="AS2" s="24"/>
      <c r="AT2" s="24">
        <f t="shared" si="0"/>
        <v>0.97178977272727263</v>
      </c>
      <c r="AU2" s="24">
        <f t="shared" si="0"/>
        <v>0.97034090909090909</v>
      </c>
      <c r="AV2" s="24">
        <f t="shared" si="0"/>
        <v>0.9775284090909091</v>
      </c>
      <c r="AW2" s="24">
        <f t="shared" si="0"/>
        <v>0.74963068181818182</v>
      </c>
      <c r="AX2" s="24">
        <f t="shared" si="0"/>
        <v>0.96374999999999988</v>
      </c>
      <c r="AY2" s="24">
        <f t="shared" si="0"/>
        <v>0.95130681818181806</v>
      </c>
      <c r="AZ2" s="24">
        <f t="shared" si="0"/>
        <v>0.9648863636363636</v>
      </c>
      <c r="BA2" s="24"/>
      <c r="BB2" s="24"/>
      <c r="BC2" s="24"/>
      <c r="BD2" s="24">
        <f>BD5</f>
        <v>0.98363636363636364</v>
      </c>
      <c r="BE2" s="24">
        <f>BE5</f>
        <v>0.99818181818181817</v>
      </c>
      <c r="BF2" s="24"/>
    </row>
    <row r="3" spans="1:58" ht="18.75" x14ac:dyDescent="0.25">
      <c r="A3" s="55" t="s">
        <v>39</v>
      </c>
      <c r="B3" s="5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</row>
    <row r="4" spans="1:58" x14ac:dyDescent="0.25">
      <c r="A4" s="56" t="s">
        <v>77</v>
      </c>
      <c r="B4" s="56"/>
      <c r="C4" s="31">
        <f>SUM(D4:BF4)</f>
        <v>1284</v>
      </c>
      <c r="D4" s="31">
        <v>20</v>
      </c>
      <c r="E4" s="31">
        <v>50</v>
      </c>
      <c r="F4" s="31">
        <v>51</v>
      </c>
      <c r="G4" s="31"/>
      <c r="H4" s="31"/>
      <c r="I4" s="31"/>
      <c r="J4" s="31"/>
      <c r="K4" s="31">
        <v>20</v>
      </c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>
        <v>50</v>
      </c>
      <c r="AC4" s="31">
        <v>50</v>
      </c>
      <c r="AD4" s="31"/>
      <c r="AE4" s="31">
        <v>50</v>
      </c>
      <c r="AF4" s="31"/>
      <c r="AG4" s="31">
        <v>47</v>
      </c>
      <c r="AH4" s="31">
        <v>49</v>
      </c>
      <c r="AI4" s="31">
        <v>119</v>
      </c>
      <c r="AJ4" s="31">
        <v>50</v>
      </c>
      <c r="AK4" s="31">
        <v>52</v>
      </c>
      <c r="AL4" s="31"/>
      <c r="AM4" s="31"/>
      <c r="AN4" s="31"/>
      <c r="AO4" s="31">
        <v>50</v>
      </c>
      <c r="AP4" s="31"/>
      <c r="AQ4" s="31">
        <v>50</v>
      </c>
      <c r="AR4" s="31">
        <v>50</v>
      </c>
      <c r="AS4" s="31"/>
      <c r="AT4" s="31">
        <v>50</v>
      </c>
      <c r="AU4" s="31">
        <v>50</v>
      </c>
      <c r="AV4" s="31">
        <v>28</v>
      </c>
      <c r="AW4" s="31">
        <v>20</v>
      </c>
      <c r="AX4" s="31">
        <v>52</v>
      </c>
      <c r="AY4" s="31">
        <v>50</v>
      </c>
      <c r="AZ4" s="31">
        <v>50</v>
      </c>
      <c r="BA4" s="31"/>
      <c r="BB4" s="31"/>
      <c r="BC4" s="31"/>
      <c r="BD4" s="31">
        <v>50</v>
      </c>
      <c r="BE4" s="31">
        <v>176</v>
      </c>
      <c r="BF4" s="31"/>
    </row>
    <row r="5" spans="1:58" ht="63" x14ac:dyDescent="0.25">
      <c r="A5" s="32" t="s">
        <v>0</v>
      </c>
      <c r="B5" s="32" t="s">
        <v>1</v>
      </c>
      <c r="C5" s="31"/>
      <c r="D5" s="25">
        <f>(SUM(D11:D13)+SUM(D21:D27)+D15+(IF(D9=5,100%,0%)+(IF(D8=5,100%,0%))))/11</f>
        <v>0.98545454545454547</v>
      </c>
      <c r="E5" s="25">
        <f>(SUM(E11:E13)+SUM(E21:E27)+E15+(IF(E9=5,100%,0%)+(IF(E8=5,100%,0%))))/11</f>
        <v>0.69818181818181813</v>
      </c>
      <c r="F5" s="24">
        <f>(SUM(F11:F13)+SUM(F21:F27)+F15+(IF(F9=5,100%,0%)+(IF(F8=5,100%,0%))))/11</f>
        <v>0.99643493761140822</v>
      </c>
      <c r="G5" s="24"/>
      <c r="H5" s="24"/>
      <c r="I5" s="24"/>
      <c r="J5" s="24"/>
      <c r="K5" s="24">
        <f t="shared" ref="K5:BE5" si="4">(SUM(K11:K13)+SUM(K21:K27)+K15+(IF(K9=5,100%,0%)+(IF(K8=5,100%,0%))))/11</f>
        <v>0.72727272727272729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>
        <f t="shared" ref="AB5" si="5">(SUM(AB11:AB13)+SUM(AB21:AB27)+AB15+(IF(AB9=5,100%,0%)+(IF(AB8=5,100%,0%))))/11</f>
        <v>0.97636363636363643</v>
      </c>
      <c r="AC5" s="24">
        <f t="shared" si="4"/>
        <v>0.94545454545454544</v>
      </c>
      <c r="AD5" s="24"/>
      <c r="AE5" s="24">
        <f t="shared" si="4"/>
        <v>1</v>
      </c>
      <c r="AF5" s="24"/>
      <c r="AG5" s="24">
        <f t="shared" si="4"/>
        <v>0.99818181818181817</v>
      </c>
      <c r="AH5" s="24">
        <f t="shared" si="4"/>
        <v>0.99173553719008256</v>
      </c>
      <c r="AI5" s="24">
        <f t="shared" si="4"/>
        <v>0.95727272727272716</v>
      </c>
      <c r="AJ5" s="24">
        <f t="shared" si="4"/>
        <v>0.97636363636363643</v>
      </c>
      <c r="AK5" s="24">
        <f t="shared" si="4"/>
        <v>0.99818181818181817</v>
      </c>
      <c r="AL5" s="24"/>
      <c r="AM5" s="24"/>
      <c r="AN5" s="24"/>
      <c r="AO5" s="24">
        <f t="shared" si="4"/>
        <v>0.95999999999999985</v>
      </c>
      <c r="AP5" s="24"/>
      <c r="AQ5" s="24">
        <f t="shared" si="4"/>
        <v>0.97636363636363643</v>
      </c>
      <c r="AR5" s="24">
        <f t="shared" si="4"/>
        <v>0.95999999999999985</v>
      </c>
      <c r="AS5" s="24"/>
      <c r="AT5" s="24">
        <f t="shared" si="4"/>
        <v>0.96545454545454534</v>
      </c>
      <c r="AU5" s="24">
        <f t="shared" si="4"/>
        <v>0.97818181818181815</v>
      </c>
      <c r="AV5" s="24">
        <f t="shared" si="4"/>
        <v>0.97818181818181815</v>
      </c>
      <c r="AW5" s="24">
        <f t="shared" si="4"/>
        <v>0.70363636363636362</v>
      </c>
      <c r="AX5" s="24">
        <f t="shared" si="4"/>
        <v>0.95999999999999985</v>
      </c>
      <c r="AY5" s="24">
        <f t="shared" si="4"/>
        <v>0.93636363636363629</v>
      </c>
      <c r="AZ5" s="24">
        <f t="shared" si="4"/>
        <v>0.96727272727272717</v>
      </c>
      <c r="BA5" s="24"/>
      <c r="BB5" s="24"/>
      <c r="BC5" s="24"/>
      <c r="BD5" s="24">
        <f t="shared" si="4"/>
        <v>0.98363636363636364</v>
      </c>
      <c r="BE5" s="24">
        <f t="shared" si="4"/>
        <v>0.99818181818181817</v>
      </c>
      <c r="BF5" s="24"/>
    </row>
    <row r="6" spans="1:58" x14ac:dyDescent="0.25">
      <c r="A6" s="52" t="s">
        <v>2</v>
      </c>
      <c r="B6" s="5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x14ac:dyDescent="0.25">
      <c r="A7" s="28" t="s">
        <v>3</v>
      </c>
      <c r="B7" s="32"/>
      <c r="C7" s="31"/>
      <c r="D7" s="31">
        <v>0</v>
      </c>
      <c r="E7" s="31">
        <v>0</v>
      </c>
      <c r="F7" s="31">
        <v>0</v>
      </c>
      <c r="G7" s="31"/>
      <c r="H7" s="31"/>
      <c r="I7" s="31"/>
      <c r="J7" s="31"/>
      <c r="K7" s="31">
        <v>0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>
        <v>0</v>
      </c>
      <c r="AC7" s="31">
        <v>0</v>
      </c>
      <c r="AD7" s="31"/>
      <c r="AE7" s="31">
        <v>0</v>
      </c>
      <c r="AF7" s="31"/>
      <c r="AG7" s="31">
        <v>0</v>
      </c>
      <c r="AH7" s="31">
        <v>0</v>
      </c>
      <c r="AI7" s="31">
        <v>0</v>
      </c>
      <c r="AJ7" s="31"/>
      <c r="AK7" s="31">
        <v>0</v>
      </c>
      <c r="AL7" s="31"/>
      <c r="AM7" s="31"/>
      <c r="AN7" s="31"/>
      <c r="AO7" s="31">
        <v>0</v>
      </c>
      <c r="AP7" s="31"/>
      <c r="AQ7" s="31">
        <v>0</v>
      </c>
      <c r="AR7" s="31">
        <v>0</v>
      </c>
      <c r="AS7" s="31"/>
      <c r="AT7" s="31"/>
      <c r="AU7" s="31">
        <v>0</v>
      </c>
      <c r="AV7" s="31"/>
      <c r="AW7" s="31">
        <v>0</v>
      </c>
      <c r="AX7" s="31">
        <v>0</v>
      </c>
      <c r="AY7" s="31">
        <v>0</v>
      </c>
      <c r="AZ7" s="31">
        <v>0</v>
      </c>
      <c r="BA7" s="31"/>
      <c r="BB7" s="31"/>
      <c r="BC7" s="31"/>
      <c r="BD7" s="31">
        <v>0</v>
      </c>
      <c r="BE7" s="31"/>
      <c r="BF7" s="31"/>
    </row>
    <row r="8" spans="1:58" ht="47.25" x14ac:dyDescent="0.25">
      <c r="A8" s="2" t="s">
        <v>4</v>
      </c>
      <c r="B8" s="32" t="s">
        <v>5</v>
      </c>
      <c r="C8" s="31"/>
      <c r="D8" s="31">
        <v>5</v>
      </c>
      <c r="E8" s="31">
        <v>0</v>
      </c>
      <c r="F8" s="31">
        <v>5</v>
      </c>
      <c r="G8" s="31"/>
      <c r="H8" s="31"/>
      <c r="I8" s="31"/>
      <c r="J8" s="31"/>
      <c r="K8" s="31">
        <v>0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>
        <v>5</v>
      </c>
      <c r="AC8" s="31">
        <v>5</v>
      </c>
      <c r="AD8" s="31"/>
      <c r="AE8" s="31">
        <v>5</v>
      </c>
      <c r="AF8" s="31"/>
      <c r="AG8" s="31">
        <v>5</v>
      </c>
      <c r="AH8" s="31">
        <v>5</v>
      </c>
      <c r="AI8" s="31">
        <v>5</v>
      </c>
      <c r="AJ8" s="31">
        <v>5</v>
      </c>
      <c r="AK8" s="31">
        <v>5</v>
      </c>
      <c r="AL8" s="31"/>
      <c r="AM8" s="31"/>
      <c r="AN8" s="31"/>
      <c r="AO8" s="31">
        <v>5</v>
      </c>
      <c r="AP8" s="31"/>
      <c r="AQ8" s="31">
        <v>5</v>
      </c>
      <c r="AR8" s="31">
        <v>5</v>
      </c>
      <c r="AS8" s="31"/>
      <c r="AT8" s="31">
        <v>5</v>
      </c>
      <c r="AU8" s="31">
        <v>5</v>
      </c>
      <c r="AV8" s="31">
        <v>5</v>
      </c>
      <c r="AW8" s="31">
        <v>0</v>
      </c>
      <c r="AX8" s="31">
        <v>5</v>
      </c>
      <c r="AY8" s="31">
        <v>5</v>
      </c>
      <c r="AZ8" s="31">
        <v>5</v>
      </c>
      <c r="BA8" s="31"/>
      <c r="BB8" s="31"/>
      <c r="BC8" s="31"/>
      <c r="BD8" s="31">
        <v>5</v>
      </c>
      <c r="BE8" s="31">
        <v>5</v>
      </c>
      <c r="BF8" s="31"/>
    </row>
    <row r="9" spans="1:58" ht="31.5" x14ac:dyDescent="0.25">
      <c r="A9" s="29" t="s">
        <v>6</v>
      </c>
      <c r="B9" s="32" t="s">
        <v>5</v>
      </c>
      <c r="C9" s="31"/>
      <c r="D9" s="31">
        <v>5</v>
      </c>
      <c r="E9" s="31">
        <v>0</v>
      </c>
      <c r="F9" s="31">
        <v>5</v>
      </c>
      <c r="G9" s="31"/>
      <c r="H9" s="31"/>
      <c r="I9" s="31"/>
      <c r="J9" s="31"/>
      <c r="K9" s="31">
        <v>0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>
        <v>5</v>
      </c>
      <c r="AC9" s="31">
        <v>5</v>
      </c>
      <c r="AD9" s="31"/>
      <c r="AE9" s="31">
        <v>5</v>
      </c>
      <c r="AF9" s="31"/>
      <c r="AG9" s="31">
        <v>5</v>
      </c>
      <c r="AH9" s="31">
        <v>5</v>
      </c>
      <c r="AI9" s="31">
        <v>5</v>
      </c>
      <c r="AJ9" s="31">
        <v>5</v>
      </c>
      <c r="AK9" s="31">
        <v>5</v>
      </c>
      <c r="AL9" s="31"/>
      <c r="AM9" s="31"/>
      <c r="AN9" s="31"/>
      <c r="AO9" s="31">
        <v>5</v>
      </c>
      <c r="AP9" s="31"/>
      <c r="AQ9" s="31">
        <v>5</v>
      </c>
      <c r="AR9" s="31">
        <v>5</v>
      </c>
      <c r="AS9" s="31"/>
      <c r="AT9" s="31">
        <v>5</v>
      </c>
      <c r="AU9" s="31">
        <v>5</v>
      </c>
      <c r="AV9" s="31">
        <v>5</v>
      </c>
      <c r="AW9" s="31">
        <v>0</v>
      </c>
      <c r="AX9" s="31">
        <v>5</v>
      </c>
      <c r="AY9" s="31">
        <v>5</v>
      </c>
      <c r="AZ9" s="31">
        <v>5</v>
      </c>
      <c r="BA9" s="31"/>
      <c r="BB9" s="31"/>
      <c r="BC9" s="31"/>
      <c r="BD9" s="31">
        <v>5</v>
      </c>
      <c r="BE9" s="31">
        <v>5</v>
      </c>
      <c r="BF9" s="31"/>
    </row>
    <row r="10" spans="1:58" ht="63" x14ac:dyDescent="0.25">
      <c r="A10" s="2" t="s">
        <v>7</v>
      </c>
      <c r="B10" s="32" t="s">
        <v>8</v>
      </c>
      <c r="C10" s="31"/>
      <c r="D10" s="13">
        <f>SUM(D11:D13,D15,D21:D27)/9</f>
        <v>0.98222222222222222</v>
      </c>
      <c r="E10" s="13">
        <f t="shared" ref="E10:F10" si="6">SUM(E11:E13,E15,E21:E27)/9</f>
        <v>0.85333333333333328</v>
      </c>
      <c r="F10" s="13">
        <f t="shared" si="6"/>
        <v>0.99564270152505452</v>
      </c>
      <c r="G10" s="13"/>
      <c r="H10" s="13"/>
      <c r="I10" s="13"/>
      <c r="J10" s="13"/>
      <c r="K10" s="13">
        <f t="shared" ref="K10" si="7">SUM(K11:K13,K15,K21:K27)/9</f>
        <v>0.88888888888888884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>
        <f t="shared" ref="AB10" si="8">SUM(AB11:AB13,AB15,AB21:AB27)/9</f>
        <v>0.97111111111111093</v>
      </c>
      <c r="AC10" s="13">
        <f t="shared" ref="AC10" si="9">SUM(AC11:AC13,AC15,AC21:AC27)/9</f>
        <v>0.93333333333333335</v>
      </c>
      <c r="AD10" s="13"/>
      <c r="AE10" s="13">
        <f t="shared" ref="AE10" si="10">SUM(AE11:AE13,AE15,AE21:AE27)/9</f>
        <v>1</v>
      </c>
      <c r="AF10" s="13"/>
      <c r="AG10" s="13">
        <f t="shared" ref="AG10" si="11">SUM(AG11:AG13,AG15,AG21:AG27)/9</f>
        <v>0.99777777777777787</v>
      </c>
      <c r="AH10" s="13">
        <f t="shared" ref="AH10" si="12">SUM(AH11:AH13,AH15,AH21:AH27)/9</f>
        <v>0.98989898989899006</v>
      </c>
      <c r="AI10" s="13">
        <f>SUM(AI11:AI13,AI15,AI21:AI27)/9</f>
        <v>0.94777777777777794</v>
      </c>
      <c r="AJ10" s="13">
        <f>SUM(AJ11:AJ13,AJ15,AJ21:AJ27)/9</f>
        <v>0.97111111111111093</v>
      </c>
      <c r="AK10" s="13">
        <f t="shared" ref="AK10" si="13">SUM(AK11:AK13,AK15,AK21:AK27)/9</f>
        <v>0.99777777777777787</v>
      </c>
      <c r="AL10" s="13"/>
      <c r="AM10" s="13"/>
      <c r="AN10" s="13"/>
      <c r="AO10" s="13">
        <f t="shared" ref="AO10" si="14">SUM(AO11:AO13,AO15,AO21:AO27)/9</f>
        <v>0.95111111111111113</v>
      </c>
      <c r="AP10" s="13"/>
      <c r="AQ10" s="13">
        <f t="shared" ref="AQ10:AR10" si="15">SUM(AQ11:AQ13,AQ15,AQ21:AQ27)/9</f>
        <v>0.97111111111111093</v>
      </c>
      <c r="AR10" s="13">
        <f t="shared" si="15"/>
        <v>0.95111111111111113</v>
      </c>
      <c r="AS10" s="13"/>
      <c r="AT10" s="13">
        <f t="shared" ref="AT10:AZ10" si="16">SUM(AT11:AT13,AT15,AT21:AT27)/9</f>
        <v>0.95777777777777784</v>
      </c>
      <c r="AU10" s="13">
        <f t="shared" si="16"/>
        <v>0.97333333333333327</v>
      </c>
      <c r="AV10" s="13">
        <f t="shared" si="16"/>
        <v>0.97333333333333327</v>
      </c>
      <c r="AW10" s="13">
        <f t="shared" si="16"/>
        <v>0.86</v>
      </c>
      <c r="AX10" s="13">
        <f t="shared" si="16"/>
        <v>0.95111111111111113</v>
      </c>
      <c r="AY10" s="13">
        <f t="shared" si="16"/>
        <v>0.92222222222222205</v>
      </c>
      <c r="AZ10" s="13">
        <f t="shared" si="16"/>
        <v>0.95999999999999985</v>
      </c>
      <c r="BA10" s="13"/>
      <c r="BB10" s="13"/>
      <c r="BC10" s="13"/>
      <c r="BD10" s="13">
        <f t="shared" ref="BD10:BE10" si="17">SUM(BD11:BD13,BD15,BD21:BD27)/9</f>
        <v>0.98</v>
      </c>
      <c r="BE10" s="13">
        <f t="shared" si="17"/>
        <v>0.99777777777777787</v>
      </c>
      <c r="BF10" s="13"/>
    </row>
    <row r="11" spans="1:58" ht="47.25" x14ac:dyDescent="0.25">
      <c r="A11" s="29" t="s">
        <v>9</v>
      </c>
      <c r="B11" s="32" t="s">
        <v>10</v>
      </c>
      <c r="C11" s="31"/>
      <c r="D11" s="14">
        <v>0.94</v>
      </c>
      <c r="E11" s="14">
        <v>0</v>
      </c>
      <c r="F11" s="13">
        <f>49/51</f>
        <v>0.96078431372549022</v>
      </c>
      <c r="G11" s="31"/>
      <c r="H11" s="31"/>
      <c r="I11" s="31"/>
      <c r="J11" s="31"/>
      <c r="K11" s="14">
        <v>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14">
        <v>0.96</v>
      </c>
      <c r="AC11" s="14">
        <v>1</v>
      </c>
      <c r="AD11" s="31"/>
      <c r="AE11" s="14">
        <v>1</v>
      </c>
      <c r="AF11" s="31"/>
      <c r="AG11" s="13">
        <v>1</v>
      </c>
      <c r="AH11" s="13">
        <v>1</v>
      </c>
      <c r="AI11" s="13">
        <v>0.9</v>
      </c>
      <c r="AJ11" s="14">
        <v>0.96</v>
      </c>
      <c r="AK11" s="13">
        <v>1</v>
      </c>
      <c r="AL11" s="31"/>
      <c r="AM11" s="31"/>
      <c r="AN11" s="31"/>
      <c r="AO11" s="14">
        <f>46/50</f>
        <v>0.92</v>
      </c>
      <c r="AP11" s="31"/>
      <c r="AQ11" s="14">
        <v>0.96</v>
      </c>
      <c r="AR11" s="14">
        <f>46/50</f>
        <v>0.92</v>
      </c>
      <c r="AS11" s="31"/>
      <c r="AT11" s="14">
        <f>46/50</f>
        <v>0.92</v>
      </c>
      <c r="AU11" s="14">
        <v>0.96</v>
      </c>
      <c r="AV11" s="14">
        <v>0.96</v>
      </c>
      <c r="AW11" s="31">
        <v>0</v>
      </c>
      <c r="AX11" s="14">
        <f>46/50</f>
        <v>0.92</v>
      </c>
      <c r="AY11" s="14">
        <v>0.94</v>
      </c>
      <c r="AZ11" s="14">
        <v>0.92</v>
      </c>
      <c r="BA11" s="31"/>
      <c r="BB11" s="31"/>
      <c r="BC11" s="31"/>
      <c r="BD11" s="14">
        <v>1</v>
      </c>
      <c r="BE11" s="14">
        <v>1</v>
      </c>
      <c r="BF11" s="31"/>
    </row>
    <row r="12" spans="1:58" ht="33.75" customHeight="1" x14ac:dyDescent="0.25">
      <c r="A12" s="52" t="s">
        <v>38</v>
      </c>
      <c r="B12" s="52"/>
      <c r="C12" s="12"/>
      <c r="D12" s="12"/>
      <c r="E12" s="12"/>
      <c r="F12" s="2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ht="31.5" x14ac:dyDescent="0.25">
      <c r="A13" s="2" t="s">
        <v>11</v>
      </c>
      <c r="B13" s="32" t="s">
        <v>12</v>
      </c>
      <c r="C13" s="31"/>
      <c r="D13" s="14">
        <v>0.94</v>
      </c>
      <c r="E13" s="14">
        <v>1</v>
      </c>
      <c r="F13" s="14">
        <v>1</v>
      </c>
      <c r="G13" s="31"/>
      <c r="H13" s="31"/>
      <c r="I13" s="31"/>
      <c r="J13" s="31"/>
      <c r="K13" s="14">
        <v>1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14">
        <v>0.98</v>
      </c>
      <c r="AC13" s="14">
        <v>1</v>
      </c>
      <c r="AD13" s="31"/>
      <c r="AE13" s="14">
        <v>1</v>
      </c>
      <c r="AF13" s="31"/>
      <c r="AG13" s="13">
        <v>1</v>
      </c>
      <c r="AH13" s="13">
        <v>1</v>
      </c>
      <c r="AI13" s="13">
        <v>0.98</v>
      </c>
      <c r="AJ13" s="14">
        <v>0.98</v>
      </c>
      <c r="AK13" s="13">
        <v>1</v>
      </c>
      <c r="AL13" s="31"/>
      <c r="AM13" s="31"/>
      <c r="AN13" s="31"/>
      <c r="AO13" s="14">
        <v>1</v>
      </c>
      <c r="AP13" s="31"/>
      <c r="AQ13" s="14">
        <v>0.98</v>
      </c>
      <c r="AR13" s="14">
        <v>1</v>
      </c>
      <c r="AS13" s="31"/>
      <c r="AT13" s="14">
        <v>1</v>
      </c>
      <c r="AU13" s="14">
        <v>1</v>
      </c>
      <c r="AV13" s="14">
        <v>1</v>
      </c>
      <c r="AW13" s="14">
        <v>1</v>
      </c>
      <c r="AX13" s="14">
        <v>1</v>
      </c>
      <c r="AY13" s="14">
        <v>1</v>
      </c>
      <c r="AZ13" s="14">
        <v>1</v>
      </c>
      <c r="BA13" s="31"/>
      <c r="BB13" s="31"/>
      <c r="BC13" s="31"/>
      <c r="BD13" s="14">
        <v>1</v>
      </c>
      <c r="BE13" s="13">
        <v>1</v>
      </c>
      <c r="BF13" s="31"/>
    </row>
    <row r="14" spans="1:58" ht="31.5" x14ac:dyDescent="0.25">
      <c r="A14" s="29" t="s">
        <v>13</v>
      </c>
      <c r="B14" s="32" t="s">
        <v>14</v>
      </c>
      <c r="C14" s="31"/>
      <c r="D14" s="31">
        <v>12</v>
      </c>
      <c r="E14" s="31">
        <v>24</v>
      </c>
      <c r="F14" s="23">
        <v>9</v>
      </c>
      <c r="G14" s="31"/>
      <c r="H14" s="31"/>
      <c r="I14" s="31"/>
      <c r="J14" s="31"/>
      <c r="K14" s="31">
        <v>0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>
        <v>1</v>
      </c>
      <c r="AC14" s="31">
        <v>2</v>
      </c>
      <c r="AD14" s="31"/>
      <c r="AE14" s="31">
        <v>1</v>
      </c>
      <c r="AF14" s="31"/>
      <c r="AG14" s="31">
        <v>1</v>
      </c>
      <c r="AH14" s="31">
        <v>1</v>
      </c>
      <c r="AI14" s="31">
        <v>3</v>
      </c>
      <c r="AJ14" s="31">
        <v>1</v>
      </c>
      <c r="AK14" s="31">
        <v>1</v>
      </c>
      <c r="AL14" s="31"/>
      <c r="AM14" s="31"/>
      <c r="AN14" s="31"/>
      <c r="AO14" s="31">
        <v>3</v>
      </c>
      <c r="AP14" s="31"/>
      <c r="AQ14" s="31">
        <v>1</v>
      </c>
      <c r="AR14" s="31">
        <v>3</v>
      </c>
      <c r="AS14" s="31"/>
      <c r="AT14" s="31">
        <v>3</v>
      </c>
      <c r="AU14" s="31">
        <v>2</v>
      </c>
      <c r="AV14" s="31">
        <v>4</v>
      </c>
      <c r="AW14" s="31">
        <v>1</v>
      </c>
      <c r="AX14" s="31">
        <v>3</v>
      </c>
      <c r="AY14" s="31">
        <v>3</v>
      </c>
      <c r="AZ14" s="31">
        <v>2</v>
      </c>
      <c r="BA14" s="31"/>
      <c r="BB14" s="31"/>
      <c r="BC14" s="31"/>
      <c r="BD14" s="17">
        <v>0</v>
      </c>
      <c r="BE14" s="31">
        <v>0</v>
      </c>
      <c r="BF14" s="31"/>
    </row>
    <row r="15" spans="1:58" ht="47.25" x14ac:dyDescent="0.25">
      <c r="A15" s="29" t="s">
        <v>15</v>
      </c>
      <c r="B15" s="32" t="s">
        <v>16</v>
      </c>
      <c r="C15" s="31"/>
      <c r="D15" s="14">
        <v>1</v>
      </c>
      <c r="E15" s="14">
        <v>0.74</v>
      </c>
      <c r="F15" s="14">
        <v>1</v>
      </c>
      <c r="G15" s="31"/>
      <c r="H15" s="31"/>
      <c r="I15" s="31"/>
      <c r="J15" s="31"/>
      <c r="K15" s="14">
        <v>1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14">
        <v>0.98</v>
      </c>
      <c r="AC15" s="14">
        <v>1</v>
      </c>
      <c r="AD15" s="31"/>
      <c r="AE15" s="14">
        <v>1</v>
      </c>
      <c r="AF15" s="31"/>
      <c r="AG15" s="13">
        <v>0.98</v>
      </c>
      <c r="AH15" s="13">
        <f>10/11</f>
        <v>0.90909090909090906</v>
      </c>
      <c r="AI15" s="13">
        <v>0.93</v>
      </c>
      <c r="AJ15" s="14">
        <v>0.98</v>
      </c>
      <c r="AK15" s="14">
        <v>0.98</v>
      </c>
      <c r="AL15" s="31"/>
      <c r="AM15" s="31"/>
      <c r="AN15" s="31"/>
      <c r="AO15" s="13">
        <f>43/50</f>
        <v>0.86</v>
      </c>
      <c r="AP15" s="31"/>
      <c r="AQ15" s="14">
        <v>0.98</v>
      </c>
      <c r="AR15" s="13">
        <f>43/50</f>
        <v>0.86</v>
      </c>
      <c r="AS15" s="31"/>
      <c r="AT15" s="13">
        <v>0.9</v>
      </c>
      <c r="AU15" s="14">
        <v>0.92</v>
      </c>
      <c r="AV15" s="14">
        <v>0.92</v>
      </c>
      <c r="AW15" s="14">
        <v>0.9</v>
      </c>
      <c r="AX15" s="13">
        <f>43/50</f>
        <v>0.86</v>
      </c>
      <c r="AY15" s="14">
        <v>0.82</v>
      </c>
      <c r="AZ15" s="14">
        <v>0.84</v>
      </c>
      <c r="BA15" s="31"/>
      <c r="BB15" s="31"/>
      <c r="BC15" s="31"/>
      <c r="BD15" s="14">
        <v>0.84</v>
      </c>
      <c r="BE15" s="13">
        <v>0.98</v>
      </c>
      <c r="BF15" s="31"/>
    </row>
    <row r="16" spans="1:58" ht="16.5" customHeight="1" x14ac:dyDescent="0.25">
      <c r="A16" s="52" t="s">
        <v>17</v>
      </c>
      <c r="B16" s="5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x14ac:dyDescent="0.25">
      <c r="A17" s="29" t="s">
        <v>18</v>
      </c>
      <c r="B17" s="32" t="s">
        <v>19</v>
      </c>
      <c r="C17" s="31"/>
      <c r="D17" s="31">
        <v>18</v>
      </c>
      <c r="E17" s="31">
        <v>20</v>
      </c>
      <c r="F17" s="31">
        <v>12</v>
      </c>
      <c r="G17" s="31"/>
      <c r="H17" s="31"/>
      <c r="I17" s="31"/>
      <c r="J17" s="31"/>
      <c r="K17" s="31">
        <v>10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>
        <v>14</v>
      </c>
      <c r="AC17" s="31">
        <v>5</v>
      </c>
      <c r="AD17" s="31"/>
      <c r="AE17" s="31">
        <v>9</v>
      </c>
      <c r="AF17" s="31"/>
      <c r="AG17" s="31">
        <v>10</v>
      </c>
      <c r="AH17" s="31">
        <v>10</v>
      </c>
      <c r="AI17" s="31">
        <v>10</v>
      </c>
      <c r="AJ17" s="31">
        <v>14</v>
      </c>
      <c r="AK17" s="31">
        <v>12</v>
      </c>
      <c r="AL17" s="31"/>
      <c r="AM17" s="31"/>
      <c r="AN17" s="31"/>
      <c r="AO17" s="31">
        <v>11</v>
      </c>
      <c r="AP17" s="31"/>
      <c r="AQ17" s="31">
        <v>14</v>
      </c>
      <c r="AR17" s="31">
        <v>11</v>
      </c>
      <c r="AS17" s="31"/>
      <c r="AT17" s="31">
        <v>7</v>
      </c>
      <c r="AU17" s="31">
        <v>15</v>
      </c>
      <c r="AV17" s="31">
        <v>10</v>
      </c>
      <c r="AW17" s="31">
        <v>20</v>
      </c>
      <c r="AX17" s="31">
        <v>11</v>
      </c>
      <c r="AY17" s="31">
        <v>11</v>
      </c>
      <c r="AZ17" s="31">
        <v>15</v>
      </c>
      <c r="BA17" s="31"/>
      <c r="BB17" s="31"/>
      <c r="BC17" s="31"/>
      <c r="BD17" s="31">
        <v>12</v>
      </c>
      <c r="BE17" s="31">
        <v>5</v>
      </c>
      <c r="BF17" s="31"/>
    </row>
    <row r="18" spans="1:58" ht="31.5" x14ac:dyDescent="0.25">
      <c r="A18" s="29" t="s">
        <v>20</v>
      </c>
      <c r="B18" s="32" t="s">
        <v>21</v>
      </c>
      <c r="C18" s="31"/>
      <c r="D18" s="31">
        <v>30</v>
      </c>
      <c r="E18" s="31">
        <v>30</v>
      </c>
      <c r="F18" s="31">
        <v>14</v>
      </c>
      <c r="G18" s="31"/>
      <c r="H18" s="31"/>
      <c r="I18" s="31"/>
      <c r="J18" s="31"/>
      <c r="K18" s="31">
        <v>1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>
        <v>2</v>
      </c>
      <c r="AC18" s="31">
        <v>7</v>
      </c>
      <c r="AD18" s="31"/>
      <c r="AE18" s="31">
        <v>5</v>
      </c>
      <c r="AF18" s="31"/>
      <c r="AG18" s="31">
        <v>4</v>
      </c>
      <c r="AH18" s="31">
        <v>7</v>
      </c>
      <c r="AI18" s="31">
        <v>3</v>
      </c>
      <c r="AJ18" s="31">
        <v>2</v>
      </c>
      <c r="AK18" s="31">
        <v>1</v>
      </c>
      <c r="AL18" s="31"/>
      <c r="AM18" s="31"/>
      <c r="AN18" s="31"/>
      <c r="AO18" s="31">
        <v>3</v>
      </c>
      <c r="AP18" s="31"/>
      <c r="AQ18" s="31">
        <v>2</v>
      </c>
      <c r="AR18" s="31">
        <v>3</v>
      </c>
      <c r="AS18" s="31"/>
      <c r="AT18" s="31">
        <v>1</v>
      </c>
      <c r="AU18" s="31">
        <v>3</v>
      </c>
      <c r="AV18" s="31">
        <v>7</v>
      </c>
      <c r="AW18" s="31">
        <v>7</v>
      </c>
      <c r="AX18" s="31">
        <v>3</v>
      </c>
      <c r="AY18" s="31">
        <v>1</v>
      </c>
      <c r="AZ18" s="31">
        <v>5</v>
      </c>
      <c r="BA18" s="31"/>
      <c r="BB18" s="31"/>
      <c r="BC18" s="31"/>
      <c r="BD18" s="31">
        <v>0</v>
      </c>
      <c r="BE18" s="31">
        <v>0</v>
      </c>
      <c r="BF18" s="31"/>
    </row>
    <row r="19" spans="1:58" ht="31.5" x14ac:dyDescent="0.25">
      <c r="A19" s="29" t="s">
        <v>22</v>
      </c>
      <c r="B19" s="32" t="s">
        <v>23</v>
      </c>
      <c r="C19" s="31"/>
      <c r="D19" s="31">
        <v>3</v>
      </c>
      <c r="E19" s="31">
        <v>7</v>
      </c>
      <c r="F19" s="31">
        <v>3</v>
      </c>
      <c r="G19" s="31"/>
      <c r="H19" s="31"/>
      <c r="I19" s="31"/>
      <c r="J19" s="31"/>
      <c r="K19" s="31">
        <v>0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>
        <v>5</v>
      </c>
      <c r="AC19" s="31">
        <v>1</v>
      </c>
      <c r="AD19" s="31"/>
      <c r="AE19" s="31">
        <v>1</v>
      </c>
      <c r="AF19" s="31"/>
      <c r="AG19" s="31">
        <v>1</v>
      </c>
      <c r="AH19" s="31">
        <v>1</v>
      </c>
      <c r="AI19" s="31">
        <v>4</v>
      </c>
      <c r="AJ19" s="31">
        <v>5</v>
      </c>
      <c r="AK19" s="31">
        <v>3</v>
      </c>
      <c r="AL19" s="31"/>
      <c r="AM19" s="31"/>
      <c r="AN19" s="31"/>
      <c r="AO19" s="31">
        <v>2</v>
      </c>
      <c r="AP19" s="31"/>
      <c r="AQ19" s="31">
        <v>5</v>
      </c>
      <c r="AR19" s="31">
        <v>2</v>
      </c>
      <c r="AS19" s="31"/>
      <c r="AT19" s="31">
        <v>5</v>
      </c>
      <c r="AU19" s="31">
        <v>4</v>
      </c>
      <c r="AV19" s="31">
        <v>3</v>
      </c>
      <c r="AW19" s="31">
        <v>10</v>
      </c>
      <c r="AX19" s="31">
        <v>2</v>
      </c>
      <c r="AY19" s="31">
        <v>3</v>
      </c>
      <c r="AZ19" s="31">
        <v>7</v>
      </c>
      <c r="BA19" s="31"/>
      <c r="BB19" s="31"/>
      <c r="BC19" s="31"/>
      <c r="BD19" s="31">
        <v>1</v>
      </c>
      <c r="BE19" s="31">
        <v>1</v>
      </c>
      <c r="BF19" s="31"/>
    </row>
    <row r="20" spans="1:58" ht="30.75" customHeight="1" x14ac:dyDescent="0.25">
      <c r="A20" s="52" t="s">
        <v>24</v>
      </c>
      <c r="B20" s="5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47.25" x14ac:dyDescent="0.25">
      <c r="A21" s="2" t="s">
        <v>25</v>
      </c>
      <c r="B21" s="32" t="s">
        <v>26</v>
      </c>
      <c r="C21" s="31"/>
      <c r="D21" s="14">
        <v>1</v>
      </c>
      <c r="E21" s="14">
        <v>1</v>
      </c>
      <c r="F21" s="14">
        <v>1</v>
      </c>
      <c r="G21" s="31"/>
      <c r="H21" s="31"/>
      <c r="I21" s="31"/>
      <c r="J21" s="31"/>
      <c r="K21" s="14">
        <v>1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14">
        <v>0.96</v>
      </c>
      <c r="AC21" s="13">
        <f>44/50</f>
        <v>0.88</v>
      </c>
      <c r="AD21" s="31"/>
      <c r="AE21" s="14">
        <v>1</v>
      </c>
      <c r="AF21" s="31"/>
      <c r="AG21" s="13">
        <v>1</v>
      </c>
      <c r="AH21" s="13">
        <v>1</v>
      </c>
      <c r="AI21" s="13">
        <v>0.93</v>
      </c>
      <c r="AJ21" s="14">
        <v>0.96</v>
      </c>
      <c r="AK21" s="13">
        <v>1</v>
      </c>
      <c r="AL21" s="31"/>
      <c r="AM21" s="31"/>
      <c r="AN21" s="31"/>
      <c r="AO21" s="13">
        <f>49/50</f>
        <v>0.98</v>
      </c>
      <c r="AP21" s="31"/>
      <c r="AQ21" s="14">
        <v>0.96</v>
      </c>
      <c r="AR21" s="13">
        <f>49/50</f>
        <v>0.98</v>
      </c>
      <c r="AS21" s="31"/>
      <c r="AT21" s="13">
        <v>0.94</v>
      </c>
      <c r="AU21" s="14">
        <v>0.98</v>
      </c>
      <c r="AV21" s="14">
        <v>0.98</v>
      </c>
      <c r="AW21" s="14">
        <v>0.96</v>
      </c>
      <c r="AX21" s="13">
        <f>49/50</f>
        <v>0.98</v>
      </c>
      <c r="AY21" s="14">
        <v>0.92</v>
      </c>
      <c r="AZ21" s="14">
        <v>0.98</v>
      </c>
      <c r="BA21" s="31"/>
      <c r="BB21" s="31"/>
      <c r="BC21" s="31"/>
      <c r="BD21" s="14">
        <v>0.98</v>
      </c>
      <c r="BE21" s="13">
        <v>1</v>
      </c>
      <c r="BF21" s="31"/>
    </row>
    <row r="22" spans="1:58" ht="31.5" x14ac:dyDescent="0.25">
      <c r="A22" s="29" t="s">
        <v>27</v>
      </c>
      <c r="B22" s="32" t="s">
        <v>28</v>
      </c>
      <c r="C22" s="31"/>
      <c r="D22" s="14">
        <v>1</v>
      </c>
      <c r="E22" s="14">
        <v>1</v>
      </c>
      <c r="F22" s="14">
        <v>1</v>
      </c>
      <c r="G22" s="31"/>
      <c r="H22" s="31"/>
      <c r="I22" s="31"/>
      <c r="J22" s="31"/>
      <c r="K22" s="14">
        <v>1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14">
        <v>0.98</v>
      </c>
      <c r="AC22" s="13">
        <f>43/50</f>
        <v>0.86</v>
      </c>
      <c r="AD22" s="31"/>
      <c r="AE22" s="14">
        <v>1</v>
      </c>
      <c r="AF22" s="31"/>
      <c r="AG22" s="13">
        <v>1</v>
      </c>
      <c r="AH22" s="13">
        <v>1</v>
      </c>
      <c r="AI22" s="13">
        <v>0.95</v>
      </c>
      <c r="AJ22" s="14">
        <v>0.98</v>
      </c>
      <c r="AK22" s="13">
        <v>1</v>
      </c>
      <c r="AL22" s="31"/>
      <c r="AM22" s="31"/>
      <c r="AN22" s="31"/>
      <c r="AO22" s="13">
        <f>49/50</f>
        <v>0.98</v>
      </c>
      <c r="AP22" s="31"/>
      <c r="AQ22" s="14">
        <v>0.98</v>
      </c>
      <c r="AR22" s="13">
        <f>49/50</f>
        <v>0.98</v>
      </c>
      <c r="AS22" s="31"/>
      <c r="AT22" s="13">
        <v>0.96</v>
      </c>
      <c r="AU22" s="14">
        <v>0.96</v>
      </c>
      <c r="AV22" s="14">
        <v>0.96</v>
      </c>
      <c r="AW22" s="14">
        <v>0.94</v>
      </c>
      <c r="AX22" s="13">
        <f>49/50</f>
        <v>0.98</v>
      </c>
      <c r="AY22" s="14">
        <v>0.94</v>
      </c>
      <c r="AZ22" s="14">
        <v>0.96</v>
      </c>
      <c r="BA22" s="31"/>
      <c r="BB22" s="31"/>
      <c r="BC22" s="31"/>
      <c r="BD22" s="14">
        <v>1</v>
      </c>
      <c r="BE22" s="13">
        <v>1</v>
      </c>
      <c r="BF22" s="31"/>
    </row>
    <row r="23" spans="1:58" ht="27.75" customHeight="1" x14ac:dyDescent="0.25">
      <c r="A23" s="52" t="s">
        <v>29</v>
      </c>
      <c r="B23" s="5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2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31.5" x14ac:dyDescent="0.25">
      <c r="A24" s="29" t="s">
        <v>30</v>
      </c>
      <c r="B24" s="32" t="s">
        <v>31</v>
      </c>
      <c r="C24" s="31"/>
      <c r="D24" s="14">
        <v>1</v>
      </c>
      <c r="E24" s="14">
        <v>0.96</v>
      </c>
      <c r="F24" s="14">
        <v>1</v>
      </c>
      <c r="G24" s="31"/>
      <c r="H24" s="31"/>
      <c r="I24" s="31"/>
      <c r="J24" s="31"/>
      <c r="K24" s="14">
        <v>1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14">
        <v>0.96</v>
      </c>
      <c r="AC24" s="13">
        <f>41/50</f>
        <v>0.82</v>
      </c>
      <c r="AD24" s="31"/>
      <c r="AE24" s="14">
        <v>1</v>
      </c>
      <c r="AF24" s="31"/>
      <c r="AG24" s="13">
        <v>1</v>
      </c>
      <c r="AH24" s="13">
        <v>1</v>
      </c>
      <c r="AI24" s="13">
        <v>0.97</v>
      </c>
      <c r="AJ24" s="14">
        <v>0.96</v>
      </c>
      <c r="AK24" s="13">
        <v>1</v>
      </c>
      <c r="AL24" s="31"/>
      <c r="AM24" s="31"/>
      <c r="AN24" s="31"/>
      <c r="AO24" s="13">
        <f>43/50</f>
        <v>0.86</v>
      </c>
      <c r="AP24" s="31"/>
      <c r="AQ24" s="14">
        <v>0.96</v>
      </c>
      <c r="AR24" s="13">
        <f>43/50</f>
        <v>0.86</v>
      </c>
      <c r="AS24" s="31"/>
      <c r="AT24" s="13">
        <v>0.94</v>
      </c>
      <c r="AU24" s="14">
        <v>1</v>
      </c>
      <c r="AV24" s="14">
        <v>1</v>
      </c>
      <c r="AW24" s="14">
        <v>0.98</v>
      </c>
      <c r="AX24" s="13">
        <f>43/50</f>
        <v>0.86</v>
      </c>
      <c r="AY24" s="14">
        <v>0.88</v>
      </c>
      <c r="AZ24" s="14">
        <v>1</v>
      </c>
      <c r="BA24" s="31"/>
      <c r="BB24" s="31"/>
      <c r="BC24" s="31"/>
      <c r="BD24" s="14">
        <v>1</v>
      </c>
      <c r="BE24" s="13">
        <v>1</v>
      </c>
      <c r="BF24" s="31"/>
    </row>
    <row r="25" spans="1:58" x14ac:dyDescent="0.25">
      <c r="A25" s="29" t="s">
        <v>32</v>
      </c>
      <c r="B25" s="32" t="s">
        <v>33</v>
      </c>
      <c r="C25" s="31"/>
      <c r="D25" s="14">
        <v>1</v>
      </c>
      <c r="E25" s="14">
        <v>1</v>
      </c>
      <c r="F25" s="14">
        <v>1</v>
      </c>
      <c r="G25" s="31"/>
      <c r="H25" s="31"/>
      <c r="I25" s="31"/>
      <c r="J25" s="31"/>
      <c r="K25" s="14">
        <v>1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14">
        <v>0.98</v>
      </c>
      <c r="AC25" s="14">
        <v>1</v>
      </c>
      <c r="AD25" s="31"/>
      <c r="AE25" s="14">
        <v>1</v>
      </c>
      <c r="AF25" s="31"/>
      <c r="AG25" s="13">
        <v>1</v>
      </c>
      <c r="AH25" s="13">
        <v>1</v>
      </c>
      <c r="AI25" s="13">
        <v>1</v>
      </c>
      <c r="AJ25" s="14">
        <v>0.98</v>
      </c>
      <c r="AK25" s="13">
        <v>1</v>
      </c>
      <c r="AL25" s="31"/>
      <c r="AM25" s="31"/>
      <c r="AN25" s="31"/>
      <c r="AO25" s="13">
        <v>1</v>
      </c>
      <c r="AP25" s="31"/>
      <c r="AQ25" s="14">
        <v>0.98</v>
      </c>
      <c r="AR25" s="13">
        <v>1</v>
      </c>
      <c r="AS25" s="31"/>
      <c r="AT25" s="13">
        <v>1</v>
      </c>
      <c r="AU25" s="14">
        <v>1</v>
      </c>
      <c r="AV25" s="14">
        <v>1</v>
      </c>
      <c r="AW25" s="14">
        <v>1</v>
      </c>
      <c r="AX25" s="13">
        <v>1</v>
      </c>
      <c r="AY25" s="14">
        <v>0.92</v>
      </c>
      <c r="AZ25" s="14">
        <v>1</v>
      </c>
      <c r="BA25" s="31"/>
      <c r="BB25" s="31"/>
      <c r="BC25" s="31"/>
      <c r="BD25" s="14">
        <v>1</v>
      </c>
      <c r="BE25" s="13">
        <v>1</v>
      </c>
      <c r="BF25" s="31"/>
    </row>
    <row r="26" spans="1:58" ht="31.5" x14ac:dyDescent="0.25">
      <c r="A26" s="29" t="s">
        <v>34</v>
      </c>
      <c r="B26" s="32" t="s">
        <v>35</v>
      </c>
      <c r="C26" s="31"/>
      <c r="D26" s="14">
        <v>0.96</v>
      </c>
      <c r="E26" s="14">
        <v>1</v>
      </c>
      <c r="F26" s="14">
        <v>1</v>
      </c>
      <c r="G26" s="31"/>
      <c r="H26" s="31"/>
      <c r="I26" s="31"/>
      <c r="J26" s="31"/>
      <c r="K26" s="14">
        <v>1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14">
        <v>0.96</v>
      </c>
      <c r="AC26" s="13">
        <f>47/50</f>
        <v>0.94</v>
      </c>
      <c r="AD26" s="31"/>
      <c r="AE26" s="14">
        <v>1</v>
      </c>
      <c r="AF26" s="31"/>
      <c r="AG26" s="13">
        <v>1</v>
      </c>
      <c r="AH26" s="13">
        <v>1</v>
      </c>
      <c r="AI26" s="13">
        <v>0.9</v>
      </c>
      <c r="AJ26" s="14">
        <v>0.96</v>
      </c>
      <c r="AK26" s="13">
        <v>1</v>
      </c>
      <c r="AL26" s="31"/>
      <c r="AM26" s="31"/>
      <c r="AN26" s="31"/>
      <c r="AO26" s="13">
        <f>48/50</f>
        <v>0.96</v>
      </c>
      <c r="AP26" s="31"/>
      <c r="AQ26" s="14">
        <v>0.96</v>
      </c>
      <c r="AR26" s="13">
        <f>48/50</f>
        <v>0.96</v>
      </c>
      <c r="AS26" s="31"/>
      <c r="AT26" s="13">
        <f>48/50</f>
        <v>0.96</v>
      </c>
      <c r="AU26" s="14">
        <v>1</v>
      </c>
      <c r="AV26" s="14">
        <v>1</v>
      </c>
      <c r="AW26" s="14">
        <v>0.98</v>
      </c>
      <c r="AX26" s="13">
        <f>48/50</f>
        <v>0.96</v>
      </c>
      <c r="AY26" s="14">
        <v>0.94</v>
      </c>
      <c r="AZ26" s="14">
        <v>1</v>
      </c>
      <c r="BA26" s="31"/>
      <c r="BB26" s="31"/>
      <c r="BC26" s="31"/>
      <c r="BD26" s="14">
        <v>1</v>
      </c>
      <c r="BE26" s="13">
        <v>1</v>
      </c>
      <c r="BF26" s="31"/>
    </row>
    <row r="27" spans="1:58" ht="31.5" x14ac:dyDescent="0.25">
      <c r="A27" s="29" t="s">
        <v>36</v>
      </c>
      <c r="B27" s="32" t="s">
        <v>37</v>
      </c>
      <c r="C27" s="31"/>
      <c r="D27" s="14">
        <v>1</v>
      </c>
      <c r="E27" s="14">
        <v>0.98</v>
      </c>
      <c r="F27" s="14">
        <v>1</v>
      </c>
      <c r="G27" s="31"/>
      <c r="H27" s="31"/>
      <c r="I27" s="31"/>
      <c r="J27" s="31"/>
      <c r="K27" s="14">
        <v>1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14">
        <v>0.98</v>
      </c>
      <c r="AC27" s="13">
        <f>45/50</f>
        <v>0.9</v>
      </c>
      <c r="AD27" s="31"/>
      <c r="AE27" s="14">
        <v>1</v>
      </c>
      <c r="AF27" s="31"/>
      <c r="AG27" s="13">
        <v>1</v>
      </c>
      <c r="AH27" s="13">
        <v>1</v>
      </c>
      <c r="AI27" s="13">
        <v>0.97</v>
      </c>
      <c r="AJ27" s="14">
        <v>0.98</v>
      </c>
      <c r="AK27" s="13">
        <v>1</v>
      </c>
      <c r="AL27" s="31"/>
      <c r="AM27" s="31"/>
      <c r="AN27" s="31"/>
      <c r="AO27" s="13">
        <v>1</v>
      </c>
      <c r="AP27" s="31"/>
      <c r="AQ27" s="14">
        <v>0.98</v>
      </c>
      <c r="AR27" s="13">
        <v>1</v>
      </c>
      <c r="AS27" s="31"/>
      <c r="AT27" s="13">
        <v>1</v>
      </c>
      <c r="AU27" s="14">
        <v>0.94</v>
      </c>
      <c r="AV27" s="14">
        <v>0.94</v>
      </c>
      <c r="AW27" s="14">
        <v>0.98</v>
      </c>
      <c r="AX27" s="13">
        <v>1</v>
      </c>
      <c r="AY27" s="14">
        <v>0.94</v>
      </c>
      <c r="AZ27" s="14">
        <v>0.94</v>
      </c>
      <c r="BA27" s="31"/>
      <c r="BB27" s="31"/>
      <c r="BC27" s="31"/>
      <c r="BD27" s="14">
        <v>1</v>
      </c>
      <c r="BE27" s="13">
        <v>1</v>
      </c>
      <c r="BF27" s="31"/>
    </row>
    <row r="28" spans="1:58" x14ac:dyDescent="0.25">
      <c r="A28" s="29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</row>
    <row r="29" spans="1:58" ht="18.75" x14ac:dyDescent="0.25">
      <c r="A29" s="55" t="s">
        <v>76</v>
      </c>
      <c r="B29" s="5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</row>
    <row r="30" spans="1:58" x14ac:dyDescent="0.25">
      <c r="A30" s="56" t="s">
        <v>77</v>
      </c>
      <c r="B30" s="56"/>
      <c r="C30" s="31">
        <f>SUM(D30:BF30)</f>
        <v>1513</v>
      </c>
      <c r="D30" s="31">
        <v>20</v>
      </c>
      <c r="E30" s="31">
        <v>59</v>
      </c>
      <c r="F30" s="31">
        <v>50</v>
      </c>
      <c r="G30" s="31"/>
      <c r="H30" s="31"/>
      <c r="I30" s="31"/>
      <c r="J30" s="31"/>
      <c r="K30" s="31">
        <v>30</v>
      </c>
      <c r="L30" s="31">
        <v>50</v>
      </c>
      <c r="M30" s="31">
        <v>50</v>
      </c>
      <c r="N30" s="31">
        <v>50</v>
      </c>
      <c r="O30" s="31">
        <v>50</v>
      </c>
      <c r="P30" s="31"/>
      <c r="Q30" s="31"/>
      <c r="R30" s="31">
        <v>50</v>
      </c>
      <c r="S30" s="31"/>
      <c r="T30" s="31">
        <v>46</v>
      </c>
      <c r="U30" s="31"/>
      <c r="V30" s="31"/>
      <c r="W30" s="31"/>
      <c r="X30" s="31"/>
      <c r="Y30" s="31"/>
      <c r="Z30" s="31"/>
      <c r="AA30" s="31"/>
      <c r="AB30" s="31">
        <v>50</v>
      </c>
      <c r="AC30" s="31">
        <v>50</v>
      </c>
      <c r="AD30" s="31"/>
      <c r="AE30" s="31">
        <v>50</v>
      </c>
      <c r="AF30" s="31"/>
      <c r="AG30" s="31"/>
      <c r="AH30" s="31">
        <v>79</v>
      </c>
      <c r="AI30" s="31"/>
      <c r="AJ30" s="31">
        <v>50</v>
      </c>
      <c r="AK30" s="31">
        <v>41</v>
      </c>
      <c r="AL30" s="31"/>
      <c r="AM30" s="31"/>
      <c r="AN30" s="31"/>
      <c r="AO30" s="31">
        <v>50</v>
      </c>
      <c r="AP30" s="31"/>
      <c r="AQ30" s="31">
        <v>50</v>
      </c>
      <c r="AR30" s="31">
        <v>50</v>
      </c>
      <c r="AS30" s="31"/>
      <c r="AT30" s="31">
        <v>50</v>
      </c>
      <c r="AU30" s="31">
        <v>50</v>
      </c>
      <c r="AV30" s="31">
        <v>290</v>
      </c>
      <c r="AW30" s="31">
        <v>47</v>
      </c>
      <c r="AX30" s="31">
        <v>51</v>
      </c>
      <c r="AY30" s="31">
        <v>50</v>
      </c>
      <c r="AZ30" s="31">
        <v>50</v>
      </c>
      <c r="BA30" s="31"/>
      <c r="BB30" s="31"/>
      <c r="BC30" s="31"/>
      <c r="BD30" s="31"/>
      <c r="BE30" s="31"/>
      <c r="BF30" s="31"/>
    </row>
    <row r="31" spans="1:58" ht="63" x14ac:dyDescent="0.25">
      <c r="A31" s="32" t="s">
        <v>0</v>
      </c>
      <c r="B31" s="32" t="s">
        <v>1</v>
      </c>
      <c r="C31" s="31"/>
      <c r="D31" s="24">
        <f>(SUM(D37:D40,D46:D47,D49:D56)+IF(D34=5,100%,0%)+IF(D35=5,100%,0%)+(100%-D44))/16</f>
        <v>0.98124999999999996</v>
      </c>
      <c r="E31" s="24">
        <f t="shared" ref="E31:AZ31" si="18">(SUM(E37:E40,E46:E47,E49:E56)+IF(E34=5,100%,0%)+IF(E35=5,100%,0%)+(100%-E44))/16</f>
        <v>0.78</v>
      </c>
      <c r="F31" s="24">
        <f t="shared" si="18"/>
        <v>0.99750000000000005</v>
      </c>
      <c r="G31" s="24"/>
      <c r="H31" s="24"/>
      <c r="I31" s="24"/>
      <c r="J31" s="24"/>
      <c r="K31" s="24">
        <f t="shared" si="18"/>
        <v>0.8125</v>
      </c>
      <c r="L31" s="24">
        <f t="shared" si="18"/>
        <v>0.98750000000000004</v>
      </c>
      <c r="M31" s="24">
        <f t="shared" si="18"/>
        <v>0.99</v>
      </c>
      <c r="N31" s="24">
        <f t="shared" si="18"/>
        <v>0.78625</v>
      </c>
      <c r="O31" s="24">
        <f t="shared" si="18"/>
        <v>0.80125000000000002</v>
      </c>
      <c r="P31" s="24"/>
      <c r="Q31" s="24"/>
      <c r="R31" s="24">
        <f t="shared" si="18"/>
        <v>0.77749999999999997</v>
      </c>
      <c r="S31" s="24"/>
      <c r="T31" s="24">
        <f t="shared" si="18"/>
        <v>0.80500000000000005</v>
      </c>
      <c r="U31" s="24"/>
      <c r="V31" s="24"/>
      <c r="W31" s="24"/>
      <c r="X31" s="24"/>
      <c r="Y31" s="24"/>
      <c r="Z31" s="24"/>
      <c r="AA31" s="24"/>
      <c r="AB31" s="24">
        <f t="shared" ref="AB31" si="19">(SUM(AB37:AB40,AB46:AB47,AB49:AB56)+IF(AB34=5,100%,0%)+IF(AB35=5,100%,0%)+(100%-AB44))/16</f>
        <v>0.98250000000000004</v>
      </c>
      <c r="AC31" s="24">
        <f t="shared" si="18"/>
        <v>0.97499999999999998</v>
      </c>
      <c r="AD31" s="24"/>
      <c r="AE31" s="24">
        <f t="shared" si="18"/>
        <v>0.99624999999999997</v>
      </c>
      <c r="AF31" s="24"/>
      <c r="AG31" s="24"/>
      <c r="AH31" s="24">
        <f t="shared" si="18"/>
        <v>0.99575158227848104</v>
      </c>
      <c r="AI31" s="24"/>
      <c r="AJ31" s="24">
        <f t="shared" si="18"/>
        <v>0.99670886075949372</v>
      </c>
      <c r="AK31" s="24">
        <f t="shared" ref="AK31" si="20">(SUM(AK37:AK40,AK46:AK47,AK49:AK56)+IF(AK34=5,100%,0%)+IF(AK35=5,100%,0%)+(100%-AK44))/16</f>
        <v>0.99466772151898741</v>
      </c>
      <c r="AL31" s="24"/>
      <c r="AM31" s="24"/>
      <c r="AN31" s="24"/>
      <c r="AO31" s="24">
        <f t="shared" si="18"/>
        <v>0.96750000000000003</v>
      </c>
      <c r="AP31" s="24"/>
      <c r="AQ31" s="24">
        <f t="shared" ref="AQ31" si="21">(SUM(AQ37:AQ40,AQ46:AQ47,AQ49:AQ56)+IF(AQ34=5,100%,0%)+IF(AQ35=5,100%,0%)+(100%-AQ44))/16</f>
        <v>0.98250000000000004</v>
      </c>
      <c r="AR31" s="24">
        <f t="shared" si="18"/>
        <v>0.99124999999999996</v>
      </c>
      <c r="AS31" s="24"/>
      <c r="AT31" s="24">
        <f t="shared" ref="AT31:AV31" si="22">(SUM(AT37:AT40,AT46:AT47,AT49:AT56)+IF(AT34=5,100%,0%)+IF(AT35=5,100%,0%)+(100%-AT44))/16</f>
        <v>0.97812499999999991</v>
      </c>
      <c r="AU31" s="24">
        <f t="shared" si="22"/>
        <v>0.96250000000000002</v>
      </c>
      <c r="AV31" s="24">
        <f t="shared" si="22"/>
        <v>0.97687499999999994</v>
      </c>
      <c r="AW31" s="24">
        <f t="shared" si="18"/>
        <v>0.79562500000000003</v>
      </c>
      <c r="AX31" s="24">
        <f t="shared" si="18"/>
        <v>0.96750000000000003</v>
      </c>
      <c r="AY31" s="24">
        <f t="shared" si="18"/>
        <v>0.96624999999999994</v>
      </c>
      <c r="AZ31" s="24">
        <f t="shared" si="18"/>
        <v>0.96250000000000002</v>
      </c>
      <c r="BA31" s="24"/>
      <c r="BB31" s="24"/>
      <c r="BC31" s="24"/>
      <c r="BD31" s="24"/>
      <c r="BE31" s="24"/>
      <c r="BF31" s="24"/>
    </row>
    <row r="32" spans="1:58" ht="16.5" customHeight="1" x14ac:dyDescent="0.25">
      <c r="A32" s="52" t="s">
        <v>2</v>
      </c>
      <c r="B32" s="5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</row>
    <row r="33" spans="1:58" x14ac:dyDescent="0.25">
      <c r="A33" s="28" t="s">
        <v>3</v>
      </c>
      <c r="B33" s="32" t="s">
        <v>45</v>
      </c>
      <c r="C33" s="31"/>
      <c r="D33" s="31">
        <v>0</v>
      </c>
      <c r="E33" s="31">
        <v>0</v>
      </c>
      <c r="F33" s="19">
        <v>0</v>
      </c>
      <c r="G33" s="31"/>
      <c r="H33" s="31"/>
      <c r="I33" s="31"/>
      <c r="J33" s="31"/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 s="31"/>
      <c r="Q33" s="31"/>
      <c r="R33" s="31">
        <v>0</v>
      </c>
      <c r="S33" s="31"/>
      <c r="T33" s="31">
        <v>0</v>
      </c>
      <c r="U33" s="31"/>
      <c r="V33" s="31"/>
      <c r="W33" s="31"/>
      <c r="X33" s="31"/>
      <c r="Y33" s="31"/>
      <c r="Z33" s="31"/>
      <c r="AA33" s="31"/>
      <c r="AB33" s="31">
        <v>0</v>
      </c>
      <c r="AC33" s="31">
        <v>0</v>
      </c>
      <c r="AD33" s="31"/>
      <c r="AE33" s="31">
        <v>0</v>
      </c>
      <c r="AF33" s="31"/>
      <c r="AG33" s="31"/>
      <c r="AH33" s="31">
        <v>0</v>
      </c>
      <c r="AI33" s="31"/>
      <c r="AJ33" s="31">
        <v>0</v>
      </c>
      <c r="AK33" s="31">
        <v>0</v>
      </c>
      <c r="AL33" s="31"/>
      <c r="AM33" s="31"/>
      <c r="AN33" s="31"/>
      <c r="AO33" s="31">
        <v>0</v>
      </c>
      <c r="AP33" s="31"/>
      <c r="AQ33" s="31">
        <v>0</v>
      </c>
      <c r="AR33" s="31">
        <v>0</v>
      </c>
      <c r="AS33" s="31"/>
      <c r="AT33" s="31"/>
      <c r="AU33" s="31">
        <v>0</v>
      </c>
      <c r="AV33" s="31"/>
      <c r="AW33" s="31">
        <v>0</v>
      </c>
      <c r="AX33" s="31">
        <v>0</v>
      </c>
      <c r="AY33" s="31">
        <v>0</v>
      </c>
      <c r="AZ33" s="31">
        <v>0</v>
      </c>
      <c r="BA33" s="31"/>
      <c r="BB33" s="31"/>
      <c r="BC33" s="31"/>
      <c r="BD33" s="31"/>
      <c r="BE33" s="31"/>
      <c r="BF33" s="31"/>
    </row>
    <row r="34" spans="1:58" ht="47.25" x14ac:dyDescent="0.25">
      <c r="A34" s="2" t="s">
        <v>46</v>
      </c>
      <c r="B34" s="32" t="s">
        <v>5</v>
      </c>
      <c r="C34" s="31"/>
      <c r="D34" s="31">
        <v>5</v>
      </c>
      <c r="E34" s="31">
        <v>0</v>
      </c>
      <c r="F34" s="31">
        <v>5</v>
      </c>
      <c r="G34" s="31"/>
      <c r="H34" s="31"/>
      <c r="I34" s="31"/>
      <c r="J34" s="31"/>
      <c r="K34" s="31">
        <v>0</v>
      </c>
      <c r="L34" s="31">
        <v>5</v>
      </c>
      <c r="M34" s="31">
        <v>5</v>
      </c>
      <c r="N34" s="31">
        <v>0</v>
      </c>
      <c r="O34" s="31">
        <v>0</v>
      </c>
      <c r="P34" s="31"/>
      <c r="Q34" s="31"/>
      <c r="R34" s="31">
        <v>0</v>
      </c>
      <c r="S34" s="31"/>
      <c r="T34" s="31">
        <v>0</v>
      </c>
      <c r="U34" s="31"/>
      <c r="V34" s="31"/>
      <c r="W34" s="31"/>
      <c r="X34" s="31"/>
      <c r="Y34" s="31"/>
      <c r="Z34" s="31"/>
      <c r="AA34" s="31"/>
      <c r="AB34" s="31">
        <v>5</v>
      </c>
      <c r="AC34" s="31">
        <v>5</v>
      </c>
      <c r="AD34" s="31"/>
      <c r="AE34" s="31">
        <v>5</v>
      </c>
      <c r="AF34" s="31"/>
      <c r="AG34" s="31"/>
      <c r="AH34" s="31">
        <v>5</v>
      </c>
      <c r="AI34" s="31"/>
      <c r="AJ34" s="31">
        <v>5</v>
      </c>
      <c r="AK34" s="31">
        <v>5</v>
      </c>
      <c r="AL34" s="31"/>
      <c r="AM34" s="31"/>
      <c r="AN34" s="31"/>
      <c r="AO34" s="31">
        <v>5</v>
      </c>
      <c r="AP34" s="31"/>
      <c r="AQ34" s="31">
        <v>5</v>
      </c>
      <c r="AR34" s="31">
        <v>5</v>
      </c>
      <c r="AS34" s="31"/>
      <c r="AT34" s="31">
        <v>5</v>
      </c>
      <c r="AU34" s="31">
        <v>5</v>
      </c>
      <c r="AV34" s="31">
        <v>5</v>
      </c>
      <c r="AW34" s="31">
        <v>0</v>
      </c>
      <c r="AX34" s="31">
        <v>5</v>
      </c>
      <c r="AY34" s="31">
        <v>5</v>
      </c>
      <c r="AZ34" s="31">
        <v>5</v>
      </c>
      <c r="BA34" s="31"/>
      <c r="BB34" s="31"/>
      <c r="BC34" s="31"/>
      <c r="BD34" s="31"/>
      <c r="BE34" s="31"/>
      <c r="BF34" s="31"/>
    </row>
    <row r="35" spans="1:58" ht="31.5" x14ac:dyDescent="0.25">
      <c r="A35" s="2" t="s">
        <v>6</v>
      </c>
      <c r="B35" s="32" t="s">
        <v>5</v>
      </c>
      <c r="C35" s="31"/>
      <c r="D35" s="31">
        <v>5</v>
      </c>
      <c r="E35" s="31">
        <v>0</v>
      </c>
      <c r="F35" s="31">
        <v>5</v>
      </c>
      <c r="G35" s="31"/>
      <c r="H35" s="31"/>
      <c r="I35" s="31"/>
      <c r="J35" s="31"/>
      <c r="K35" s="31">
        <v>0</v>
      </c>
      <c r="L35" s="31">
        <v>5</v>
      </c>
      <c r="M35" s="31">
        <v>5</v>
      </c>
      <c r="N35" s="31">
        <v>0</v>
      </c>
      <c r="O35" s="31">
        <v>0</v>
      </c>
      <c r="P35" s="31"/>
      <c r="Q35" s="31"/>
      <c r="R35" s="31">
        <v>0</v>
      </c>
      <c r="S35" s="31"/>
      <c r="T35" s="31">
        <v>0</v>
      </c>
      <c r="U35" s="31"/>
      <c r="V35" s="31"/>
      <c r="W35" s="31"/>
      <c r="X35" s="31"/>
      <c r="Y35" s="31"/>
      <c r="Z35" s="31"/>
      <c r="AA35" s="31"/>
      <c r="AB35" s="31">
        <v>5</v>
      </c>
      <c r="AC35" s="31">
        <v>5</v>
      </c>
      <c r="AD35" s="31"/>
      <c r="AE35" s="31">
        <v>5</v>
      </c>
      <c r="AF35" s="31"/>
      <c r="AG35" s="31"/>
      <c r="AH35" s="31">
        <v>5</v>
      </c>
      <c r="AI35" s="31"/>
      <c r="AJ35" s="31">
        <v>5</v>
      </c>
      <c r="AK35" s="31">
        <v>5</v>
      </c>
      <c r="AL35" s="31"/>
      <c r="AM35" s="31"/>
      <c r="AN35" s="31"/>
      <c r="AO35" s="31">
        <v>5</v>
      </c>
      <c r="AP35" s="31"/>
      <c r="AQ35" s="31">
        <v>5</v>
      </c>
      <c r="AR35" s="31">
        <v>5</v>
      </c>
      <c r="AS35" s="31"/>
      <c r="AT35" s="31">
        <v>5</v>
      </c>
      <c r="AU35" s="31">
        <v>5</v>
      </c>
      <c r="AV35" s="31">
        <v>5</v>
      </c>
      <c r="AW35" s="31">
        <v>0</v>
      </c>
      <c r="AX35" s="31">
        <v>5</v>
      </c>
      <c r="AY35" s="31">
        <v>5</v>
      </c>
      <c r="AZ35" s="31">
        <v>5</v>
      </c>
      <c r="BA35" s="31"/>
      <c r="BB35" s="31"/>
      <c r="BC35" s="31"/>
      <c r="BD35" s="31"/>
      <c r="BE35" s="31"/>
      <c r="BF35" s="31"/>
    </row>
    <row r="36" spans="1:58" ht="63" x14ac:dyDescent="0.25">
      <c r="A36" s="2" t="s">
        <v>7</v>
      </c>
      <c r="B36" s="32" t="s">
        <v>81</v>
      </c>
      <c r="C36" s="31"/>
      <c r="D36" s="14">
        <f>(SUM(D37:D40,D46:D56)+(100%-D44))/14</f>
        <v>0.97857142857142854</v>
      </c>
      <c r="E36" s="14">
        <f>(SUM(E37:E40,E46:E56)+(100%-E44))/14</f>
        <v>0.89142857142857146</v>
      </c>
      <c r="F36" s="14">
        <f>(SUM(F37:F40,F46:F56)+(100%-F44))/14</f>
        <v>0.99714285714285722</v>
      </c>
      <c r="G36" s="14"/>
      <c r="H36" s="14"/>
      <c r="I36" s="14"/>
      <c r="J36" s="14"/>
      <c r="K36" s="14">
        <f t="shared" ref="K36:O36" si="23">(SUM(K37:K40,K46:K56)+(100%-K44))/14</f>
        <v>0.9285714285714286</v>
      </c>
      <c r="L36" s="14">
        <f t="shared" si="23"/>
        <v>0.98571428571428577</v>
      </c>
      <c r="M36" s="14">
        <f t="shared" si="23"/>
        <v>0.98857142857142855</v>
      </c>
      <c r="N36" s="14">
        <f t="shared" si="23"/>
        <v>0.89857142857142858</v>
      </c>
      <c r="O36" s="14">
        <f t="shared" si="23"/>
        <v>0.9157142857142857</v>
      </c>
      <c r="P36" s="14"/>
      <c r="Q36" s="14"/>
      <c r="R36" s="14">
        <f>(SUM(R37:R40,R46:R56)+(100%-R44))/14</f>
        <v>0.88857142857142857</v>
      </c>
      <c r="S36" s="14"/>
      <c r="T36" s="14">
        <f>(SUM(T37:T40,T46:T56)+(100%-T44))/14</f>
        <v>0.92</v>
      </c>
      <c r="U36" s="14"/>
      <c r="V36" s="14"/>
      <c r="W36" s="14"/>
      <c r="X36" s="14"/>
      <c r="Y36" s="14"/>
      <c r="Z36" s="14"/>
      <c r="AA36" s="14"/>
      <c r="AB36" s="14">
        <f t="shared" ref="AB36" si="24">(SUM(AB37:AB40,AB46:AB56)+(100%-AB44))/14</f>
        <v>0.98000000000000009</v>
      </c>
      <c r="AC36" s="14">
        <f t="shared" ref="AC36" si="25">(SUM(AC37:AC40,AC46:AC56)+(100%-AC44))/14</f>
        <v>0.97142857142857142</v>
      </c>
      <c r="AD36" s="14"/>
      <c r="AE36" s="14">
        <f t="shared" ref="AE36" si="26">(SUM(AE37:AE40,AE46:AE56)+(100%-AE44))/14</f>
        <v>0.99571428571428566</v>
      </c>
      <c r="AF36" s="14"/>
      <c r="AG36" s="14"/>
      <c r="AH36" s="14">
        <f t="shared" ref="AH36" si="27">(SUM(AH37:AH40,AH46:AH56)+(100%-AH44))/14</f>
        <v>0.99514466546112124</v>
      </c>
      <c r="AI36" s="14"/>
      <c r="AJ36" s="14">
        <f t="shared" ref="AJ36:AK36" si="28">(SUM(AJ37:AJ40,AJ46:AJ56)+(100%-AJ44))/14</f>
        <v>0.99623869801084997</v>
      </c>
      <c r="AK36" s="14">
        <f t="shared" si="28"/>
        <v>0.99390596745027138</v>
      </c>
      <c r="AL36" s="14"/>
      <c r="AM36" s="14"/>
      <c r="AN36" s="14"/>
      <c r="AO36" s="14">
        <f t="shared" ref="AO36" si="29">(SUM(AO37:AO40,AO46:AO56)+(100%-AO44))/14</f>
        <v>0.96285714285714286</v>
      </c>
      <c r="AP36" s="14"/>
      <c r="AQ36" s="14">
        <f t="shared" ref="AQ36" si="30">(SUM(AQ37:AQ40,AQ46:AQ56)+(100%-AQ44))/14</f>
        <v>0.98000000000000009</v>
      </c>
      <c r="AR36" s="14">
        <f t="shared" ref="AR36" si="31">(SUM(AR37:AR40,AR46:AR56)+(100%-AR44))/14</f>
        <v>0.99</v>
      </c>
      <c r="AS36" s="14"/>
      <c r="AT36" s="14">
        <f t="shared" ref="AT36:AU36" si="32">(SUM(AT37:AT40,AT46:AT56)+(100%-AT44))/14</f>
        <v>0.97499999999999987</v>
      </c>
      <c r="AU36" s="14">
        <f t="shared" si="32"/>
        <v>0.95714285714285718</v>
      </c>
      <c r="AV36" s="14">
        <f>(SUM(AV37:AV40,AV46:AV56)+(100%-AV44))/14</f>
        <v>0.97357142857142853</v>
      </c>
      <c r="AW36" s="14">
        <v>0.93</v>
      </c>
      <c r="AX36" s="14">
        <f t="shared" ref="AX36:AZ36" si="33">(SUM(AX37:AX40,AX46:AX56)+(100%-AX44))/14</f>
        <v>0.96285714285714286</v>
      </c>
      <c r="AY36" s="14">
        <f t="shared" si="33"/>
        <v>0.96142857142857141</v>
      </c>
      <c r="AZ36" s="14">
        <f t="shared" si="33"/>
        <v>0.95714285714285718</v>
      </c>
      <c r="BA36" s="14"/>
      <c r="BB36" s="14"/>
      <c r="BC36" s="14"/>
      <c r="BD36" s="14"/>
      <c r="BE36" s="14"/>
      <c r="BF36" s="14"/>
    </row>
    <row r="37" spans="1:58" ht="47.25" x14ac:dyDescent="0.25">
      <c r="A37" s="2" t="s">
        <v>47</v>
      </c>
      <c r="B37" s="32" t="s">
        <v>48</v>
      </c>
      <c r="C37" s="31"/>
      <c r="D37" s="14">
        <v>0.96</v>
      </c>
      <c r="E37" s="14">
        <v>0</v>
      </c>
      <c r="F37" s="13">
        <v>1</v>
      </c>
      <c r="G37" s="31"/>
      <c r="H37" s="31"/>
      <c r="I37" s="31"/>
      <c r="J37" s="31"/>
      <c r="K37" s="14">
        <v>0</v>
      </c>
      <c r="L37" s="14">
        <v>1</v>
      </c>
      <c r="M37" s="14">
        <v>1</v>
      </c>
      <c r="N37" s="14">
        <v>0</v>
      </c>
      <c r="O37" s="14">
        <v>0</v>
      </c>
      <c r="P37" s="31"/>
      <c r="Q37" s="31"/>
      <c r="R37" s="14">
        <v>0</v>
      </c>
      <c r="S37" s="31"/>
      <c r="T37" s="14">
        <v>0</v>
      </c>
      <c r="U37" s="31"/>
      <c r="V37" s="31"/>
      <c r="W37" s="31"/>
      <c r="X37" s="31"/>
      <c r="Y37" s="31"/>
      <c r="Z37" s="31"/>
      <c r="AA37" s="31"/>
      <c r="AB37" s="14">
        <v>1</v>
      </c>
      <c r="AC37" s="14">
        <v>1</v>
      </c>
      <c r="AD37" s="31"/>
      <c r="AE37" s="13">
        <f>49/50</f>
        <v>0.98</v>
      </c>
      <c r="AF37" s="31"/>
      <c r="AG37" s="31"/>
      <c r="AH37" s="13">
        <v>1</v>
      </c>
      <c r="AI37" s="31"/>
      <c r="AJ37" s="14">
        <v>0.98</v>
      </c>
      <c r="AK37" s="13">
        <v>1</v>
      </c>
      <c r="AL37" s="31"/>
      <c r="AM37" s="31"/>
      <c r="AN37" s="31"/>
      <c r="AO37" s="14">
        <v>1</v>
      </c>
      <c r="AP37" s="31"/>
      <c r="AQ37" s="14">
        <v>1</v>
      </c>
      <c r="AR37" s="13">
        <f>49/50</f>
        <v>0.98</v>
      </c>
      <c r="AS37" s="31"/>
      <c r="AT37" s="14">
        <v>0.95</v>
      </c>
      <c r="AU37" s="14">
        <v>0.96</v>
      </c>
      <c r="AV37" s="14">
        <v>0.95</v>
      </c>
      <c r="AW37" s="31">
        <v>0</v>
      </c>
      <c r="AX37" s="14">
        <v>1</v>
      </c>
      <c r="AY37" s="14">
        <v>0.94</v>
      </c>
      <c r="AZ37" s="14">
        <v>0.96</v>
      </c>
      <c r="BA37" s="31"/>
      <c r="BB37" s="31"/>
      <c r="BC37" s="31"/>
      <c r="BD37" s="31"/>
      <c r="BE37" s="31"/>
      <c r="BF37" s="31"/>
    </row>
    <row r="38" spans="1:58" ht="30" customHeight="1" x14ac:dyDescent="0.25">
      <c r="A38" s="52" t="s">
        <v>38</v>
      </c>
      <c r="B38" s="52"/>
      <c r="C38" s="12"/>
      <c r="D38" s="18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</row>
    <row r="39" spans="1:58" ht="47.25" x14ac:dyDescent="0.25">
      <c r="A39" s="2" t="s">
        <v>49</v>
      </c>
      <c r="B39" s="32" t="s">
        <v>50</v>
      </c>
      <c r="C39" s="31"/>
      <c r="D39" s="14">
        <v>0.88</v>
      </c>
      <c r="E39" s="14">
        <v>0.85</v>
      </c>
      <c r="F39" s="14">
        <v>1</v>
      </c>
      <c r="G39" s="31"/>
      <c r="H39" s="31"/>
      <c r="I39" s="31"/>
      <c r="J39" s="31"/>
      <c r="K39" s="14">
        <v>1</v>
      </c>
      <c r="L39" s="14">
        <v>1</v>
      </c>
      <c r="M39" s="14">
        <v>1</v>
      </c>
      <c r="N39" s="14">
        <v>0.92</v>
      </c>
      <c r="O39" s="14">
        <v>1</v>
      </c>
      <c r="P39" s="31"/>
      <c r="Q39" s="31"/>
      <c r="R39" s="14">
        <v>1</v>
      </c>
      <c r="S39" s="31"/>
      <c r="T39" s="14">
        <v>1</v>
      </c>
      <c r="U39" s="31"/>
      <c r="V39" s="31"/>
      <c r="W39" s="31"/>
      <c r="X39" s="31"/>
      <c r="Y39" s="31"/>
      <c r="Z39" s="31"/>
      <c r="AA39" s="31"/>
      <c r="AB39" s="13">
        <v>0.94</v>
      </c>
      <c r="AC39" s="13">
        <f>43/50</f>
        <v>0.86</v>
      </c>
      <c r="AD39" s="31"/>
      <c r="AE39" s="13">
        <f>48/50</f>
        <v>0.96</v>
      </c>
      <c r="AF39" s="31"/>
      <c r="AG39" s="31"/>
      <c r="AH39" s="13">
        <f>77/79</f>
        <v>0.97468354430379744</v>
      </c>
      <c r="AI39" s="31"/>
      <c r="AJ39" s="14">
        <v>1</v>
      </c>
      <c r="AK39" s="13">
        <f>77/79</f>
        <v>0.97468354430379744</v>
      </c>
      <c r="AL39" s="31"/>
      <c r="AM39" s="31"/>
      <c r="AN39" s="31"/>
      <c r="AO39" s="13">
        <f>39/50</f>
        <v>0.78</v>
      </c>
      <c r="AP39" s="31"/>
      <c r="AQ39" s="13">
        <v>0.94</v>
      </c>
      <c r="AR39" s="13">
        <v>0.96</v>
      </c>
      <c r="AS39" s="31"/>
      <c r="AT39" s="14">
        <v>0.96</v>
      </c>
      <c r="AU39" s="14">
        <v>0.96</v>
      </c>
      <c r="AV39" s="14">
        <v>0.97</v>
      </c>
      <c r="AW39" s="14">
        <v>0.98</v>
      </c>
      <c r="AX39" s="13">
        <f>39/50</f>
        <v>0.78</v>
      </c>
      <c r="AY39" s="14">
        <v>0.88</v>
      </c>
      <c r="AZ39" s="14">
        <v>0.68</v>
      </c>
      <c r="BA39" s="31"/>
      <c r="BB39" s="31"/>
      <c r="BC39" s="31"/>
      <c r="BD39" s="31"/>
      <c r="BE39" s="31"/>
      <c r="BF39" s="31"/>
    </row>
    <row r="40" spans="1:58" ht="47.25" x14ac:dyDescent="0.25">
      <c r="A40" s="2" t="s">
        <v>51</v>
      </c>
      <c r="B40" s="32" t="s">
        <v>52</v>
      </c>
      <c r="C40" s="31"/>
      <c r="D40" s="14">
        <v>0.92</v>
      </c>
      <c r="E40" s="14">
        <v>1</v>
      </c>
      <c r="F40" s="13">
        <f>48/50</f>
        <v>0.96</v>
      </c>
      <c r="G40" s="31"/>
      <c r="H40" s="31"/>
      <c r="I40" s="31"/>
      <c r="J40" s="31"/>
      <c r="K40" s="14">
        <v>1</v>
      </c>
      <c r="L40" s="14">
        <v>1</v>
      </c>
      <c r="M40" s="14">
        <v>1</v>
      </c>
      <c r="N40" s="14">
        <v>0.94</v>
      </c>
      <c r="O40" s="14">
        <v>1</v>
      </c>
      <c r="P40" s="31"/>
      <c r="Q40" s="31"/>
      <c r="R40" s="14">
        <v>1</v>
      </c>
      <c r="S40" s="31"/>
      <c r="T40" s="14">
        <v>1</v>
      </c>
      <c r="U40" s="31"/>
      <c r="V40" s="31"/>
      <c r="W40" s="31"/>
      <c r="X40" s="31"/>
      <c r="Y40" s="31"/>
      <c r="Z40" s="31"/>
      <c r="AA40" s="31"/>
      <c r="AB40" s="13">
        <v>0.96</v>
      </c>
      <c r="AC40" s="13">
        <f>44/50</f>
        <v>0.88</v>
      </c>
      <c r="AD40" s="31"/>
      <c r="AE40" s="14">
        <v>1</v>
      </c>
      <c r="AF40" s="31"/>
      <c r="AG40" s="31"/>
      <c r="AH40" s="13">
        <v>1</v>
      </c>
      <c r="AI40" s="31"/>
      <c r="AJ40" s="14">
        <v>1</v>
      </c>
      <c r="AK40" s="13">
        <v>1</v>
      </c>
      <c r="AL40" s="31"/>
      <c r="AM40" s="31"/>
      <c r="AN40" s="31"/>
      <c r="AO40" s="13">
        <f>47/50</f>
        <v>0.94</v>
      </c>
      <c r="AP40" s="31"/>
      <c r="AQ40" s="13">
        <v>0.96</v>
      </c>
      <c r="AR40" s="14">
        <v>1</v>
      </c>
      <c r="AS40" s="31"/>
      <c r="AT40" s="14">
        <v>0.94</v>
      </c>
      <c r="AU40" s="14">
        <v>0.96</v>
      </c>
      <c r="AV40" s="14">
        <v>0.98</v>
      </c>
      <c r="AW40" s="14">
        <v>1</v>
      </c>
      <c r="AX40" s="13">
        <f>47/50</f>
        <v>0.94</v>
      </c>
      <c r="AY40" s="14">
        <v>0.94</v>
      </c>
      <c r="AZ40" s="14">
        <v>0.88</v>
      </c>
      <c r="BA40" s="31"/>
      <c r="BB40" s="31"/>
      <c r="BC40" s="31"/>
      <c r="BD40" s="31"/>
      <c r="BE40" s="31"/>
      <c r="BF40" s="31"/>
    </row>
    <row r="41" spans="1:58" x14ac:dyDescent="0.25">
      <c r="A41" s="52" t="s">
        <v>53</v>
      </c>
      <c r="B41" s="5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</row>
    <row r="42" spans="1:58" x14ac:dyDescent="0.25">
      <c r="A42" s="29" t="s">
        <v>54</v>
      </c>
      <c r="B42" s="32" t="s">
        <v>55</v>
      </c>
      <c r="C42" s="31"/>
      <c r="D42" s="17">
        <v>45</v>
      </c>
      <c r="E42" s="31">
        <v>30</v>
      </c>
      <c r="F42" s="31">
        <v>18</v>
      </c>
      <c r="G42" s="31"/>
      <c r="H42" s="31"/>
      <c r="I42" s="31"/>
      <c r="J42" s="31"/>
      <c r="K42" s="31">
        <v>15</v>
      </c>
      <c r="L42" s="31">
        <v>20</v>
      </c>
      <c r="M42" s="31">
        <v>20</v>
      </c>
      <c r="N42" s="31">
        <v>20</v>
      </c>
      <c r="O42" s="31">
        <v>14</v>
      </c>
      <c r="P42" s="31"/>
      <c r="Q42" s="31"/>
      <c r="R42" s="31">
        <v>15</v>
      </c>
      <c r="S42" s="31"/>
      <c r="T42" s="31">
        <v>15</v>
      </c>
      <c r="U42" s="31"/>
      <c r="V42" s="31"/>
      <c r="W42" s="31"/>
      <c r="X42" s="31"/>
      <c r="Y42" s="31"/>
      <c r="Z42" s="31"/>
      <c r="AA42" s="31"/>
      <c r="AB42" s="31">
        <v>15</v>
      </c>
      <c r="AC42" s="31">
        <v>18</v>
      </c>
      <c r="AD42" s="31"/>
      <c r="AE42" s="31">
        <v>15</v>
      </c>
      <c r="AF42" s="31"/>
      <c r="AG42" s="31"/>
      <c r="AH42" s="31">
        <v>10</v>
      </c>
      <c r="AI42" s="31"/>
      <c r="AJ42" s="31">
        <v>15</v>
      </c>
      <c r="AK42" s="31">
        <v>15</v>
      </c>
      <c r="AL42" s="31"/>
      <c r="AM42" s="31"/>
      <c r="AN42" s="31"/>
      <c r="AO42" s="31">
        <v>20</v>
      </c>
      <c r="AP42" s="31"/>
      <c r="AQ42" s="31">
        <v>15</v>
      </c>
      <c r="AR42" s="31">
        <v>15</v>
      </c>
      <c r="AS42" s="31"/>
      <c r="AT42" s="31">
        <v>20</v>
      </c>
      <c r="AU42" s="31">
        <v>27</v>
      </c>
      <c r="AV42" s="31">
        <v>11</v>
      </c>
      <c r="AW42" s="31">
        <v>17</v>
      </c>
      <c r="AX42" s="31">
        <v>20</v>
      </c>
      <c r="AY42" s="31">
        <v>10</v>
      </c>
      <c r="AZ42" s="31">
        <v>30</v>
      </c>
      <c r="BA42" s="31"/>
      <c r="BB42" s="31"/>
      <c r="BC42" s="31"/>
      <c r="BD42" s="31"/>
      <c r="BE42" s="31"/>
      <c r="BF42" s="31"/>
    </row>
    <row r="43" spans="1:58" ht="31.5" x14ac:dyDescent="0.25">
      <c r="A43" s="2" t="s">
        <v>56</v>
      </c>
      <c r="B43" s="32" t="s">
        <v>57</v>
      </c>
      <c r="C43" s="31"/>
      <c r="D43" s="31">
        <v>30</v>
      </c>
      <c r="E43" s="31">
        <v>30</v>
      </c>
      <c r="F43" s="31">
        <v>27</v>
      </c>
      <c r="G43" s="31"/>
      <c r="H43" s="31"/>
      <c r="I43" s="31"/>
      <c r="J43" s="31"/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/>
      <c r="Q43" s="31"/>
      <c r="R43" s="31">
        <v>0</v>
      </c>
      <c r="S43" s="31"/>
      <c r="T43" s="31">
        <v>0</v>
      </c>
      <c r="U43" s="31"/>
      <c r="V43" s="31"/>
      <c r="W43" s="31"/>
      <c r="X43" s="31"/>
      <c r="Y43" s="31"/>
      <c r="Z43" s="31"/>
      <c r="AA43" s="31"/>
      <c r="AB43" s="31">
        <v>3</v>
      </c>
      <c r="AC43" s="31">
        <v>4</v>
      </c>
      <c r="AD43" s="31"/>
      <c r="AE43" s="31">
        <v>5</v>
      </c>
      <c r="AF43" s="31"/>
      <c r="AG43" s="31"/>
      <c r="AH43" s="31">
        <v>5</v>
      </c>
      <c r="AI43" s="31"/>
      <c r="AJ43" s="31">
        <v>7</v>
      </c>
      <c r="AK43" s="31">
        <v>5</v>
      </c>
      <c r="AL43" s="31"/>
      <c r="AM43" s="31"/>
      <c r="AN43" s="31"/>
      <c r="AO43" s="31">
        <v>5</v>
      </c>
      <c r="AP43" s="31"/>
      <c r="AQ43" s="31">
        <v>3</v>
      </c>
      <c r="AR43" s="31">
        <v>5</v>
      </c>
      <c r="AS43" s="31"/>
      <c r="AT43" s="31">
        <v>7</v>
      </c>
      <c r="AU43" s="31">
        <v>5</v>
      </c>
      <c r="AV43" s="31">
        <v>4</v>
      </c>
      <c r="AW43" s="31">
        <v>3</v>
      </c>
      <c r="AX43" s="31">
        <v>5</v>
      </c>
      <c r="AY43" s="31">
        <v>5</v>
      </c>
      <c r="AZ43" s="31">
        <v>5</v>
      </c>
      <c r="BA43" s="31"/>
      <c r="BB43" s="31"/>
      <c r="BC43" s="31"/>
      <c r="BD43" s="31"/>
      <c r="BE43" s="31"/>
      <c r="BF43" s="31"/>
    </row>
    <row r="44" spans="1:58" ht="47.25" x14ac:dyDescent="0.25">
      <c r="A44" s="29" t="s">
        <v>58</v>
      </c>
      <c r="B44" s="32" t="s">
        <v>59</v>
      </c>
      <c r="C44" s="31"/>
      <c r="D44" s="14">
        <v>0</v>
      </c>
      <c r="E44" s="14">
        <v>0</v>
      </c>
      <c r="F44" s="14">
        <v>0</v>
      </c>
      <c r="G44" s="31"/>
      <c r="H44" s="31"/>
      <c r="I44" s="31"/>
      <c r="J44" s="31"/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31"/>
      <c r="Q44" s="31"/>
      <c r="R44" s="14">
        <v>0</v>
      </c>
      <c r="S44" s="31"/>
      <c r="T44" s="14">
        <v>0</v>
      </c>
      <c r="U44" s="31"/>
      <c r="V44" s="31"/>
      <c r="W44" s="31"/>
      <c r="X44" s="31"/>
      <c r="Y44" s="31"/>
      <c r="Z44" s="31"/>
      <c r="AA44" s="31"/>
      <c r="AB44" s="14">
        <v>0</v>
      </c>
      <c r="AC44" s="14">
        <v>0</v>
      </c>
      <c r="AD44" s="31"/>
      <c r="AE44" s="14">
        <v>0</v>
      </c>
      <c r="AF44" s="31"/>
      <c r="AG44" s="31"/>
      <c r="AH44" s="13">
        <v>0</v>
      </c>
      <c r="AI44" s="31"/>
      <c r="AJ44" s="14">
        <v>0</v>
      </c>
      <c r="AK44" s="13">
        <v>0</v>
      </c>
      <c r="AL44" s="31"/>
      <c r="AM44" s="31"/>
      <c r="AN44" s="31"/>
      <c r="AO44" s="14">
        <v>0</v>
      </c>
      <c r="AP44" s="31"/>
      <c r="AQ44" s="14">
        <v>0</v>
      </c>
      <c r="AR44" s="14">
        <v>0</v>
      </c>
      <c r="AS44" s="31"/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31"/>
      <c r="BB44" s="31"/>
      <c r="BC44" s="31"/>
      <c r="BD44" s="31"/>
      <c r="BE44" s="31"/>
      <c r="BF44" s="31"/>
    </row>
    <row r="45" spans="1:58" x14ac:dyDescent="0.25">
      <c r="A45" s="52" t="s">
        <v>24</v>
      </c>
      <c r="B45" s="5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  <row r="46" spans="1:58" ht="47.25" x14ac:dyDescent="0.25">
      <c r="A46" s="2" t="s">
        <v>25</v>
      </c>
      <c r="B46" s="32" t="s">
        <v>60</v>
      </c>
      <c r="C46" s="31"/>
      <c r="D46" s="14">
        <v>1</v>
      </c>
      <c r="E46" s="14">
        <v>0.88</v>
      </c>
      <c r="F46" s="14">
        <v>1</v>
      </c>
      <c r="G46" s="31"/>
      <c r="H46" s="31"/>
      <c r="I46" s="31"/>
      <c r="J46" s="31"/>
      <c r="K46" s="14">
        <v>1</v>
      </c>
      <c r="L46" s="14">
        <v>0.88</v>
      </c>
      <c r="M46" s="14">
        <v>0.9</v>
      </c>
      <c r="N46" s="14">
        <v>0.88</v>
      </c>
      <c r="O46" s="14">
        <v>0.94</v>
      </c>
      <c r="P46" s="31"/>
      <c r="Q46" s="31"/>
      <c r="R46" s="14">
        <v>0.86</v>
      </c>
      <c r="S46" s="31"/>
      <c r="T46" s="14">
        <v>0.98</v>
      </c>
      <c r="U46" s="31"/>
      <c r="V46" s="31"/>
      <c r="W46" s="31"/>
      <c r="X46" s="31"/>
      <c r="Y46" s="31"/>
      <c r="Z46" s="31"/>
      <c r="AA46" s="31"/>
      <c r="AB46" s="13">
        <f>46/50</f>
        <v>0.92</v>
      </c>
      <c r="AC46" s="13">
        <f>46/50</f>
        <v>0.92</v>
      </c>
      <c r="AD46" s="31"/>
      <c r="AE46" s="14">
        <v>1</v>
      </c>
      <c r="AF46" s="31"/>
      <c r="AG46" s="31"/>
      <c r="AH46" s="13">
        <f>78/79</f>
        <v>0.98734177215189878</v>
      </c>
      <c r="AI46" s="31"/>
      <c r="AJ46" s="13">
        <f>78/79</f>
        <v>0.98734177215189878</v>
      </c>
      <c r="AK46" s="13">
        <v>0.98</v>
      </c>
      <c r="AL46" s="31"/>
      <c r="AM46" s="31"/>
      <c r="AN46" s="31"/>
      <c r="AO46" s="13">
        <f>48/50</f>
        <v>0.96</v>
      </c>
      <c r="AP46" s="31"/>
      <c r="AQ46" s="13">
        <f>46/50</f>
        <v>0.92</v>
      </c>
      <c r="AR46" s="14">
        <v>0.96</v>
      </c>
      <c r="AS46" s="31"/>
      <c r="AT46" s="14">
        <v>0.96</v>
      </c>
      <c r="AU46" s="14">
        <v>0.86</v>
      </c>
      <c r="AV46" s="14">
        <v>0.97</v>
      </c>
      <c r="AW46" s="13">
        <f>48/50</f>
        <v>0.96</v>
      </c>
      <c r="AX46" s="13">
        <f>48/50</f>
        <v>0.96</v>
      </c>
      <c r="AY46" s="14">
        <v>0.92</v>
      </c>
      <c r="AZ46" s="14">
        <v>0.98</v>
      </c>
      <c r="BA46" s="31"/>
      <c r="BB46" s="31"/>
      <c r="BC46" s="31"/>
      <c r="BD46" s="31"/>
      <c r="BE46" s="31"/>
      <c r="BF46" s="31"/>
    </row>
    <row r="47" spans="1:58" ht="31.5" x14ac:dyDescent="0.25">
      <c r="A47" s="2" t="s">
        <v>27</v>
      </c>
      <c r="B47" s="32" t="s">
        <v>80</v>
      </c>
      <c r="C47" s="31"/>
      <c r="D47" s="14">
        <v>1</v>
      </c>
      <c r="E47" s="14">
        <v>0.95</v>
      </c>
      <c r="F47" s="14">
        <v>1</v>
      </c>
      <c r="G47" s="31"/>
      <c r="H47" s="31"/>
      <c r="I47" s="31"/>
      <c r="J47" s="31"/>
      <c r="K47" s="14">
        <v>1</v>
      </c>
      <c r="L47" s="14">
        <v>0.92</v>
      </c>
      <c r="M47" s="14">
        <v>0.94</v>
      </c>
      <c r="N47" s="14">
        <v>0.84</v>
      </c>
      <c r="O47" s="14">
        <v>0.88</v>
      </c>
      <c r="P47" s="31"/>
      <c r="Q47" s="31"/>
      <c r="R47" s="14">
        <v>0.88</v>
      </c>
      <c r="S47" s="31"/>
      <c r="T47" s="14">
        <v>0.98</v>
      </c>
      <c r="U47" s="31"/>
      <c r="V47" s="31"/>
      <c r="W47" s="31"/>
      <c r="X47" s="31"/>
      <c r="Y47" s="31"/>
      <c r="Z47" s="31"/>
      <c r="AA47" s="31"/>
      <c r="AB47" s="13">
        <f>47/50</f>
        <v>0.94</v>
      </c>
      <c r="AC47" s="13">
        <f>47/50</f>
        <v>0.94</v>
      </c>
      <c r="AD47" s="31"/>
      <c r="AE47" s="14">
        <v>1</v>
      </c>
      <c r="AF47" s="31"/>
      <c r="AG47" s="31"/>
      <c r="AH47" s="13">
        <v>1</v>
      </c>
      <c r="AI47" s="31"/>
      <c r="AJ47" s="13">
        <v>1</v>
      </c>
      <c r="AK47" s="13">
        <v>0.98</v>
      </c>
      <c r="AL47" s="31"/>
      <c r="AM47" s="31"/>
      <c r="AN47" s="31"/>
      <c r="AO47" s="13">
        <f>48/50</f>
        <v>0.96</v>
      </c>
      <c r="AP47" s="31"/>
      <c r="AQ47" s="13">
        <f>47/50</f>
        <v>0.94</v>
      </c>
      <c r="AR47" s="14">
        <v>0.96</v>
      </c>
      <c r="AS47" s="31"/>
      <c r="AT47" s="14">
        <v>0.98</v>
      </c>
      <c r="AU47" s="14">
        <v>0.84</v>
      </c>
      <c r="AV47" s="14">
        <v>0.93</v>
      </c>
      <c r="AW47" s="13">
        <f>48/50</f>
        <v>0.96</v>
      </c>
      <c r="AX47" s="13">
        <f>48/50</f>
        <v>0.96</v>
      </c>
      <c r="AY47" s="14">
        <v>0.9</v>
      </c>
      <c r="AZ47" s="14">
        <v>1</v>
      </c>
      <c r="BA47" s="31"/>
      <c r="BB47" s="31"/>
      <c r="BC47" s="31"/>
      <c r="BD47" s="31"/>
      <c r="BE47" s="31"/>
      <c r="BF47" s="31"/>
    </row>
    <row r="48" spans="1:58" ht="21.75" customHeight="1" x14ac:dyDescent="0.25">
      <c r="A48" s="52" t="s">
        <v>29</v>
      </c>
      <c r="B48" s="5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</row>
    <row r="49" spans="1:58" ht="31.5" x14ac:dyDescent="0.25">
      <c r="A49" s="2" t="s">
        <v>61</v>
      </c>
      <c r="B49" s="32" t="s">
        <v>62</v>
      </c>
      <c r="C49" s="31"/>
      <c r="D49" s="14">
        <v>1</v>
      </c>
      <c r="E49" s="14">
        <v>1</v>
      </c>
      <c r="F49" s="14">
        <v>1</v>
      </c>
      <c r="G49" s="31"/>
      <c r="H49" s="31"/>
      <c r="I49" s="31"/>
      <c r="J49" s="31"/>
      <c r="K49" s="14">
        <v>1</v>
      </c>
      <c r="L49" s="14">
        <v>1</v>
      </c>
      <c r="M49" s="14">
        <v>1</v>
      </c>
      <c r="N49" s="14">
        <v>1</v>
      </c>
      <c r="O49" s="14">
        <v>1</v>
      </c>
      <c r="P49" s="31"/>
      <c r="Q49" s="31"/>
      <c r="R49" s="14">
        <v>0.94</v>
      </c>
      <c r="S49" s="31"/>
      <c r="T49" s="14">
        <v>0.98</v>
      </c>
      <c r="U49" s="31"/>
      <c r="V49" s="31"/>
      <c r="W49" s="31"/>
      <c r="X49" s="31"/>
      <c r="Y49" s="31"/>
      <c r="Z49" s="31"/>
      <c r="AA49" s="31"/>
      <c r="AB49" s="14">
        <v>1</v>
      </c>
      <c r="AC49" s="14">
        <v>1</v>
      </c>
      <c r="AD49" s="31"/>
      <c r="AE49" s="14">
        <v>1</v>
      </c>
      <c r="AF49" s="31"/>
      <c r="AG49" s="31"/>
      <c r="AH49" s="13">
        <v>1</v>
      </c>
      <c r="AI49" s="31"/>
      <c r="AJ49" s="13">
        <v>1</v>
      </c>
      <c r="AK49" s="13">
        <v>1</v>
      </c>
      <c r="AL49" s="31"/>
      <c r="AM49" s="31"/>
      <c r="AN49" s="31"/>
      <c r="AO49" s="14">
        <v>1</v>
      </c>
      <c r="AP49" s="31"/>
      <c r="AQ49" s="14">
        <v>1</v>
      </c>
      <c r="AR49" s="14">
        <v>1</v>
      </c>
      <c r="AS49" s="31"/>
      <c r="AT49" s="14">
        <v>0.98</v>
      </c>
      <c r="AU49" s="14">
        <v>0.96</v>
      </c>
      <c r="AV49" s="14">
        <v>0.95</v>
      </c>
      <c r="AW49" s="14">
        <v>0.96</v>
      </c>
      <c r="AX49" s="14">
        <v>1</v>
      </c>
      <c r="AY49" s="14">
        <v>1</v>
      </c>
      <c r="AZ49" s="14">
        <v>1</v>
      </c>
      <c r="BA49" s="31"/>
      <c r="BB49" s="31"/>
      <c r="BC49" s="31"/>
      <c r="BD49" s="31"/>
      <c r="BE49" s="31"/>
      <c r="BF49" s="31"/>
    </row>
    <row r="50" spans="1:58" ht="31.5" x14ac:dyDescent="0.25">
      <c r="A50" s="2" t="s">
        <v>63</v>
      </c>
      <c r="B50" s="32" t="s">
        <v>64</v>
      </c>
      <c r="C50" s="31"/>
      <c r="D50" s="14">
        <v>1</v>
      </c>
      <c r="E50" s="14">
        <v>1</v>
      </c>
      <c r="F50" s="14">
        <v>1</v>
      </c>
      <c r="G50" s="31"/>
      <c r="H50" s="31"/>
      <c r="I50" s="31"/>
      <c r="J50" s="31"/>
      <c r="K50" s="14">
        <v>1</v>
      </c>
      <c r="L50" s="14">
        <v>1</v>
      </c>
      <c r="M50" s="14">
        <v>1</v>
      </c>
      <c r="N50" s="14">
        <v>1</v>
      </c>
      <c r="O50" s="14">
        <v>1</v>
      </c>
      <c r="P50" s="31"/>
      <c r="Q50" s="31"/>
      <c r="R50" s="14">
        <v>0.94</v>
      </c>
      <c r="S50" s="31"/>
      <c r="T50" s="14">
        <v>0.98</v>
      </c>
      <c r="U50" s="31"/>
      <c r="V50" s="31"/>
      <c r="W50" s="31"/>
      <c r="X50" s="31"/>
      <c r="Y50" s="31"/>
      <c r="Z50" s="31"/>
      <c r="AA50" s="31"/>
      <c r="AB50" s="14">
        <v>1</v>
      </c>
      <c r="AC50" s="14">
        <v>1</v>
      </c>
      <c r="AD50" s="31"/>
      <c r="AE50" s="14">
        <v>1</v>
      </c>
      <c r="AF50" s="31"/>
      <c r="AG50" s="31"/>
      <c r="AH50" s="13">
        <v>1</v>
      </c>
      <c r="AI50" s="31"/>
      <c r="AJ50" s="13">
        <v>1</v>
      </c>
      <c r="AK50" s="13">
        <v>1</v>
      </c>
      <c r="AL50" s="31"/>
      <c r="AM50" s="31"/>
      <c r="AN50" s="31"/>
      <c r="AO50" s="14">
        <v>1</v>
      </c>
      <c r="AP50" s="31"/>
      <c r="AQ50" s="14">
        <v>1</v>
      </c>
      <c r="AR50" s="14">
        <v>1</v>
      </c>
      <c r="AS50" s="31"/>
      <c r="AT50" s="14">
        <v>0.96</v>
      </c>
      <c r="AU50" s="14">
        <v>0.98</v>
      </c>
      <c r="AV50" s="14">
        <v>0.97</v>
      </c>
      <c r="AW50" s="14">
        <v>0.98</v>
      </c>
      <c r="AX50" s="14">
        <v>1</v>
      </c>
      <c r="AY50" s="14">
        <v>1</v>
      </c>
      <c r="AZ50" s="14">
        <v>1</v>
      </c>
      <c r="BA50" s="31"/>
      <c r="BB50" s="31"/>
      <c r="BC50" s="31"/>
      <c r="BD50" s="31"/>
      <c r="BE50" s="31"/>
      <c r="BF50" s="31"/>
    </row>
    <row r="51" spans="1:58" ht="47.25" x14ac:dyDescent="0.25">
      <c r="A51" s="2" t="s">
        <v>65</v>
      </c>
      <c r="B51" s="32" t="s">
        <v>66</v>
      </c>
      <c r="C51" s="31"/>
      <c r="D51" s="14">
        <v>1</v>
      </c>
      <c r="E51" s="14">
        <v>1</v>
      </c>
      <c r="F51" s="14">
        <v>1</v>
      </c>
      <c r="G51" s="31"/>
      <c r="H51" s="31"/>
      <c r="I51" s="31"/>
      <c r="J51" s="31"/>
      <c r="K51" s="14">
        <v>1</v>
      </c>
      <c r="L51" s="14">
        <v>1</v>
      </c>
      <c r="M51" s="14">
        <v>1</v>
      </c>
      <c r="N51" s="14">
        <v>1</v>
      </c>
      <c r="O51" s="14">
        <v>1</v>
      </c>
      <c r="P51" s="31"/>
      <c r="Q51" s="31"/>
      <c r="R51" s="14">
        <v>0.9</v>
      </c>
      <c r="S51" s="31"/>
      <c r="T51" s="14">
        <v>1</v>
      </c>
      <c r="U51" s="31"/>
      <c r="V51" s="31"/>
      <c r="W51" s="31"/>
      <c r="X51" s="31"/>
      <c r="Y51" s="31"/>
      <c r="Z51" s="31"/>
      <c r="AA51" s="31"/>
      <c r="AB51" s="14">
        <v>0.98</v>
      </c>
      <c r="AC51" s="14">
        <v>1</v>
      </c>
      <c r="AD51" s="31"/>
      <c r="AE51" s="14">
        <v>1</v>
      </c>
      <c r="AF51" s="31"/>
      <c r="AG51" s="31"/>
      <c r="AH51" s="13">
        <v>1</v>
      </c>
      <c r="AI51" s="31"/>
      <c r="AJ51" s="13">
        <v>1</v>
      </c>
      <c r="AK51" s="13">
        <v>1</v>
      </c>
      <c r="AL51" s="31"/>
      <c r="AM51" s="31"/>
      <c r="AN51" s="31"/>
      <c r="AO51" s="14">
        <v>1</v>
      </c>
      <c r="AP51" s="31"/>
      <c r="AQ51" s="14">
        <v>0.98</v>
      </c>
      <c r="AR51" s="14">
        <v>1</v>
      </c>
      <c r="AS51" s="31"/>
      <c r="AT51" s="14">
        <v>0.98</v>
      </c>
      <c r="AU51" s="14">
        <v>0.98</v>
      </c>
      <c r="AV51" s="14">
        <v>0.98</v>
      </c>
      <c r="AW51" s="14">
        <v>0.98</v>
      </c>
      <c r="AX51" s="14">
        <v>1</v>
      </c>
      <c r="AY51" s="14">
        <v>0.94</v>
      </c>
      <c r="AZ51" s="14">
        <v>0.98</v>
      </c>
      <c r="BA51" s="31"/>
      <c r="BB51" s="31"/>
      <c r="BC51" s="31"/>
      <c r="BD51" s="31"/>
      <c r="BE51" s="31"/>
      <c r="BF51" s="31"/>
    </row>
    <row r="52" spans="1:58" ht="31.5" x14ac:dyDescent="0.25">
      <c r="A52" s="2" t="s">
        <v>67</v>
      </c>
      <c r="B52" s="32" t="s">
        <v>68</v>
      </c>
      <c r="C52" s="31"/>
      <c r="D52" s="14">
        <v>1</v>
      </c>
      <c r="E52" s="14">
        <v>1</v>
      </c>
      <c r="F52" s="14">
        <v>1</v>
      </c>
      <c r="G52" s="31"/>
      <c r="H52" s="31"/>
      <c r="I52" s="31"/>
      <c r="J52" s="31"/>
      <c r="K52" s="14">
        <v>1</v>
      </c>
      <c r="L52" s="14">
        <v>1</v>
      </c>
      <c r="M52" s="14">
        <v>1</v>
      </c>
      <c r="N52" s="14">
        <v>1</v>
      </c>
      <c r="O52" s="14">
        <v>1</v>
      </c>
      <c r="P52" s="31"/>
      <c r="Q52" s="31"/>
      <c r="R52" s="14">
        <v>1</v>
      </c>
      <c r="S52" s="31"/>
      <c r="T52" s="14">
        <v>1</v>
      </c>
      <c r="U52" s="31"/>
      <c r="V52" s="31"/>
      <c r="W52" s="31"/>
      <c r="X52" s="31"/>
      <c r="Y52" s="31"/>
      <c r="Z52" s="31"/>
      <c r="AA52" s="31"/>
      <c r="AB52" s="14">
        <v>1</v>
      </c>
      <c r="AC52" s="14">
        <v>1</v>
      </c>
      <c r="AD52" s="31"/>
      <c r="AE52" s="14">
        <v>1</v>
      </c>
      <c r="AF52" s="31"/>
      <c r="AG52" s="31"/>
      <c r="AH52" s="13">
        <v>1</v>
      </c>
      <c r="AI52" s="31"/>
      <c r="AJ52" s="13">
        <v>1</v>
      </c>
      <c r="AK52" s="13">
        <v>1</v>
      </c>
      <c r="AL52" s="31"/>
      <c r="AM52" s="31"/>
      <c r="AN52" s="31"/>
      <c r="AO52" s="14">
        <v>1</v>
      </c>
      <c r="AP52" s="31"/>
      <c r="AQ52" s="14">
        <v>1</v>
      </c>
      <c r="AR52" s="14">
        <v>1</v>
      </c>
      <c r="AS52" s="31"/>
      <c r="AT52" s="14">
        <v>1</v>
      </c>
      <c r="AU52" s="14">
        <v>1</v>
      </c>
      <c r="AV52" s="14">
        <v>1</v>
      </c>
      <c r="AW52" s="14">
        <v>1</v>
      </c>
      <c r="AX52" s="14">
        <v>1</v>
      </c>
      <c r="AY52" s="14">
        <v>1</v>
      </c>
      <c r="AZ52" s="14">
        <v>1</v>
      </c>
      <c r="BA52" s="31"/>
      <c r="BB52" s="31"/>
      <c r="BC52" s="31"/>
      <c r="BD52" s="31"/>
      <c r="BE52" s="31"/>
      <c r="BF52" s="31"/>
    </row>
    <row r="53" spans="1:58" ht="31.5" x14ac:dyDescent="0.25">
      <c r="A53" s="2" t="s">
        <v>69</v>
      </c>
      <c r="B53" s="32" t="s">
        <v>70</v>
      </c>
      <c r="C53" s="31"/>
      <c r="D53" s="14">
        <v>0.94</v>
      </c>
      <c r="E53" s="14">
        <v>0.8</v>
      </c>
      <c r="F53" s="14">
        <v>1</v>
      </c>
      <c r="G53" s="31"/>
      <c r="H53" s="31"/>
      <c r="I53" s="31"/>
      <c r="J53" s="31"/>
      <c r="K53" s="14">
        <v>1</v>
      </c>
      <c r="L53" s="14">
        <v>1</v>
      </c>
      <c r="M53" s="14">
        <v>1</v>
      </c>
      <c r="N53" s="14">
        <v>1</v>
      </c>
      <c r="O53" s="14">
        <v>1</v>
      </c>
      <c r="P53" s="31"/>
      <c r="Q53" s="31"/>
      <c r="R53" s="14">
        <v>0.94</v>
      </c>
      <c r="S53" s="31"/>
      <c r="T53" s="14">
        <v>0.98</v>
      </c>
      <c r="U53" s="31"/>
      <c r="V53" s="31"/>
      <c r="W53" s="31"/>
      <c r="X53" s="31"/>
      <c r="Y53" s="31"/>
      <c r="Z53" s="31"/>
      <c r="AA53" s="31"/>
      <c r="AB53" s="14">
        <v>1</v>
      </c>
      <c r="AC53" s="14">
        <v>1</v>
      </c>
      <c r="AD53" s="31"/>
      <c r="AE53" s="14">
        <v>1</v>
      </c>
      <c r="AF53" s="31"/>
      <c r="AG53" s="31"/>
      <c r="AH53" s="13">
        <v>1</v>
      </c>
      <c r="AI53" s="31"/>
      <c r="AJ53" s="13">
        <v>1</v>
      </c>
      <c r="AK53" s="13">
        <v>1</v>
      </c>
      <c r="AL53" s="31"/>
      <c r="AM53" s="31"/>
      <c r="AN53" s="31"/>
      <c r="AO53" s="13">
        <f>44/50</f>
        <v>0.88</v>
      </c>
      <c r="AP53" s="31"/>
      <c r="AQ53" s="14">
        <v>1</v>
      </c>
      <c r="AR53" s="14">
        <v>1</v>
      </c>
      <c r="AS53" s="31"/>
      <c r="AT53" s="14">
        <v>0.98</v>
      </c>
      <c r="AU53" s="14">
        <v>0.92</v>
      </c>
      <c r="AV53" s="14">
        <v>0.97</v>
      </c>
      <c r="AW53" s="14">
        <v>0.94</v>
      </c>
      <c r="AX53" s="13">
        <f>44/50</f>
        <v>0.88</v>
      </c>
      <c r="AY53" s="14">
        <v>0.94</v>
      </c>
      <c r="AZ53" s="14">
        <v>0.92</v>
      </c>
      <c r="BA53" s="31"/>
      <c r="BB53" s="31"/>
      <c r="BC53" s="31"/>
      <c r="BD53" s="31"/>
      <c r="BE53" s="31"/>
      <c r="BF53" s="31"/>
    </row>
    <row r="54" spans="1:58" ht="31.5" x14ac:dyDescent="0.25">
      <c r="A54" s="2" t="s">
        <v>79</v>
      </c>
      <c r="B54" s="32" t="s">
        <v>71</v>
      </c>
      <c r="C54" s="31"/>
      <c r="D54" s="14">
        <v>1</v>
      </c>
      <c r="E54" s="14">
        <v>1</v>
      </c>
      <c r="F54" s="14">
        <v>1</v>
      </c>
      <c r="G54" s="31"/>
      <c r="H54" s="31"/>
      <c r="I54" s="31"/>
      <c r="J54" s="31"/>
      <c r="K54" s="14">
        <v>1</v>
      </c>
      <c r="L54" s="14">
        <v>1</v>
      </c>
      <c r="M54" s="14">
        <v>1</v>
      </c>
      <c r="N54" s="14">
        <v>1</v>
      </c>
      <c r="O54" s="14">
        <v>1</v>
      </c>
      <c r="P54" s="31"/>
      <c r="Q54" s="31"/>
      <c r="R54" s="14">
        <v>1</v>
      </c>
      <c r="S54" s="31"/>
      <c r="T54" s="14">
        <v>1</v>
      </c>
      <c r="U54" s="31"/>
      <c r="V54" s="31"/>
      <c r="W54" s="31"/>
      <c r="X54" s="31"/>
      <c r="Y54" s="31"/>
      <c r="Z54" s="31"/>
      <c r="AA54" s="31"/>
      <c r="AB54" s="14">
        <v>1</v>
      </c>
      <c r="AC54" s="14">
        <v>1</v>
      </c>
      <c r="AD54" s="31"/>
      <c r="AE54" s="14">
        <v>1</v>
      </c>
      <c r="AF54" s="31"/>
      <c r="AG54" s="31"/>
      <c r="AH54" s="13">
        <v>1</v>
      </c>
      <c r="AI54" s="31"/>
      <c r="AJ54" s="13">
        <v>1</v>
      </c>
      <c r="AK54" s="13">
        <v>1</v>
      </c>
      <c r="AL54" s="31"/>
      <c r="AM54" s="31"/>
      <c r="AN54" s="31"/>
      <c r="AO54" s="14">
        <v>1</v>
      </c>
      <c r="AP54" s="31"/>
      <c r="AQ54" s="14">
        <v>1</v>
      </c>
      <c r="AR54" s="14">
        <v>1</v>
      </c>
      <c r="AS54" s="31"/>
      <c r="AT54" s="14">
        <v>1</v>
      </c>
      <c r="AU54" s="14">
        <v>1</v>
      </c>
      <c r="AV54" s="14">
        <v>1</v>
      </c>
      <c r="AW54" s="14">
        <v>1</v>
      </c>
      <c r="AX54" s="14">
        <v>1</v>
      </c>
      <c r="AY54" s="14">
        <v>1</v>
      </c>
      <c r="AZ54" s="14">
        <v>1</v>
      </c>
      <c r="BA54" s="31"/>
      <c r="BB54" s="31"/>
      <c r="BC54" s="31"/>
      <c r="BD54" s="31"/>
      <c r="BE54" s="31"/>
      <c r="BF54" s="31"/>
    </row>
    <row r="55" spans="1:58" ht="47.25" x14ac:dyDescent="0.25">
      <c r="A55" s="2" t="s">
        <v>72</v>
      </c>
      <c r="B55" s="32" t="s">
        <v>73</v>
      </c>
      <c r="C55" s="31"/>
      <c r="D55" s="14">
        <v>1</v>
      </c>
      <c r="E55" s="14">
        <v>1</v>
      </c>
      <c r="F55" s="14">
        <v>1</v>
      </c>
      <c r="G55" s="31"/>
      <c r="H55" s="31"/>
      <c r="I55" s="31"/>
      <c r="J55" s="31"/>
      <c r="K55" s="14">
        <v>1</v>
      </c>
      <c r="L55" s="14">
        <v>1</v>
      </c>
      <c r="M55" s="14">
        <v>1</v>
      </c>
      <c r="N55" s="14">
        <v>1</v>
      </c>
      <c r="O55" s="14">
        <v>1</v>
      </c>
      <c r="P55" s="31"/>
      <c r="Q55" s="31"/>
      <c r="R55" s="14">
        <v>1</v>
      </c>
      <c r="S55" s="31"/>
      <c r="T55" s="14">
        <v>1</v>
      </c>
      <c r="U55" s="31"/>
      <c r="V55" s="31"/>
      <c r="W55" s="31"/>
      <c r="X55" s="31"/>
      <c r="Y55" s="31"/>
      <c r="Z55" s="31"/>
      <c r="AA55" s="31"/>
      <c r="AB55" s="14">
        <v>0.98</v>
      </c>
      <c r="AC55" s="14">
        <v>1</v>
      </c>
      <c r="AD55" s="31"/>
      <c r="AE55" s="14">
        <v>1</v>
      </c>
      <c r="AF55" s="31"/>
      <c r="AG55" s="31"/>
      <c r="AH55" s="13">
        <v>0.97</v>
      </c>
      <c r="AI55" s="31"/>
      <c r="AJ55" s="13">
        <v>0.98</v>
      </c>
      <c r="AK55" s="13">
        <v>0.98</v>
      </c>
      <c r="AL55" s="31"/>
      <c r="AM55" s="31"/>
      <c r="AN55" s="31"/>
      <c r="AO55" s="13">
        <f>48/50</f>
        <v>0.96</v>
      </c>
      <c r="AP55" s="31"/>
      <c r="AQ55" s="14">
        <v>0.98</v>
      </c>
      <c r="AR55" s="14">
        <v>1</v>
      </c>
      <c r="AS55" s="31"/>
      <c r="AT55" s="14">
        <v>0.96</v>
      </c>
      <c r="AU55" s="14">
        <v>0.98</v>
      </c>
      <c r="AV55" s="14">
        <v>0.96</v>
      </c>
      <c r="AW55" s="14">
        <v>0.97</v>
      </c>
      <c r="AX55" s="13">
        <f>48/50</f>
        <v>0.96</v>
      </c>
      <c r="AY55" s="14">
        <v>1</v>
      </c>
      <c r="AZ55" s="14">
        <v>1</v>
      </c>
      <c r="BA55" s="31"/>
      <c r="BB55" s="31"/>
      <c r="BC55" s="31"/>
      <c r="BD55" s="31"/>
      <c r="BE55" s="31"/>
      <c r="BF55" s="31"/>
    </row>
    <row r="56" spans="1:58" ht="31.5" x14ac:dyDescent="0.25">
      <c r="A56" s="2" t="s">
        <v>74</v>
      </c>
      <c r="B56" s="32" t="s">
        <v>75</v>
      </c>
      <c r="C56" s="31"/>
      <c r="D56" s="14">
        <v>1</v>
      </c>
      <c r="E56" s="14">
        <v>1</v>
      </c>
      <c r="F56" s="14">
        <v>1</v>
      </c>
      <c r="G56" s="31"/>
      <c r="H56" s="31"/>
      <c r="I56" s="31"/>
      <c r="J56" s="31"/>
      <c r="K56" s="14">
        <v>1</v>
      </c>
      <c r="L56" s="14">
        <v>1</v>
      </c>
      <c r="M56" s="14">
        <v>1</v>
      </c>
      <c r="N56" s="14">
        <v>1</v>
      </c>
      <c r="O56" s="14">
        <v>1</v>
      </c>
      <c r="P56" s="31"/>
      <c r="Q56" s="31"/>
      <c r="R56" s="14">
        <v>0.98</v>
      </c>
      <c r="S56" s="31"/>
      <c r="T56" s="14">
        <v>0.98</v>
      </c>
      <c r="U56" s="31"/>
      <c r="V56" s="31"/>
      <c r="W56" s="31"/>
      <c r="X56" s="31"/>
      <c r="Y56" s="31"/>
      <c r="Z56" s="31"/>
      <c r="AA56" s="31"/>
      <c r="AB56" s="14">
        <v>1</v>
      </c>
      <c r="AC56" s="14">
        <v>1</v>
      </c>
      <c r="AD56" s="31"/>
      <c r="AE56" s="14">
        <v>1</v>
      </c>
      <c r="AF56" s="31"/>
      <c r="AG56" s="31"/>
      <c r="AH56" s="13">
        <v>1</v>
      </c>
      <c r="AI56" s="31"/>
      <c r="AJ56" s="13">
        <v>1</v>
      </c>
      <c r="AK56" s="13">
        <v>1</v>
      </c>
      <c r="AL56" s="31"/>
      <c r="AM56" s="31"/>
      <c r="AN56" s="31"/>
      <c r="AO56" s="14">
        <v>1</v>
      </c>
      <c r="AP56" s="31"/>
      <c r="AQ56" s="14">
        <v>1</v>
      </c>
      <c r="AR56" s="14">
        <v>1</v>
      </c>
      <c r="AS56" s="31"/>
      <c r="AT56" s="14">
        <v>1</v>
      </c>
      <c r="AU56" s="14">
        <v>1</v>
      </c>
      <c r="AV56" s="14">
        <v>1</v>
      </c>
      <c r="AW56" s="14">
        <v>1</v>
      </c>
      <c r="AX56" s="14">
        <v>1</v>
      </c>
      <c r="AY56" s="14">
        <v>1</v>
      </c>
      <c r="AZ56" s="14">
        <v>1</v>
      </c>
      <c r="BA56" s="31"/>
      <c r="BB56" s="31"/>
      <c r="BC56" s="31"/>
      <c r="BD56" s="31"/>
      <c r="BE56" s="31"/>
      <c r="BF56" s="31"/>
    </row>
  </sheetData>
  <sheetProtection password="DF74" sheet="1" objects="1" scenarios="1" selectLockedCells="1" selectUnlockedCells="1"/>
  <mergeCells count="16">
    <mergeCell ref="A12:B12"/>
    <mergeCell ref="A1:B1"/>
    <mergeCell ref="A2:B2"/>
    <mergeCell ref="A3:B3"/>
    <mergeCell ref="A4:B4"/>
    <mergeCell ref="A6:B6"/>
    <mergeCell ref="A38:B38"/>
    <mergeCell ref="A41:B41"/>
    <mergeCell ref="A45:B45"/>
    <mergeCell ref="A48:B48"/>
    <mergeCell ref="A16:B16"/>
    <mergeCell ref="A20:B20"/>
    <mergeCell ref="A23:B23"/>
    <mergeCell ref="A29:B29"/>
    <mergeCell ref="A30:B30"/>
    <mergeCell ref="A32:B32"/>
  </mergeCells>
  <hyperlinks>
    <hyperlink ref="A7" r:id="rId1" display="http://www.bus.gov.ru/"/>
    <hyperlink ref="A33" r:id="rId2" display="http://www.bus.gov.ru/"/>
  </hyperlinks>
  <pageMargins left="0.39370078740157483" right="0.39370078740157483" top="0.39370078740157483" bottom="0.39370078740157483" header="0" footer="0"/>
  <pageSetup paperSize="9" scale="47" fitToHeight="2" orientation="landscape" r:id="rId3"/>
  <rowBreaks count="1" manualBreakCount="1">
    <brk id="28" max="16383" man="1"/>
  </rowBreaks>
  <ignoredErrors>
    <ignoredError sqref="AK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6"/>
  <sheetViews>
    <sheetView tabSelected="1" view="pageBreakPreview" zoomScale="55" zoomScaleNormal="100" zoomScaleSheetLayoutView="55" workbookViewId="0">
      <pane xSplit="2" topLeftCell="C1" activePane="topRight" state="frozen"/>
      <selection activeCell="A2" sqref="A2"/>
      <selection pane="topRight" activeCell="O37" activeCellId="1" sqref="O34:O35 O37"/>
    </sheetView>
  </sheetViews>
  <sheetFormatPr defaultRowHeight="15.75" x14ac:dyDescent="0.25"/>
  <cols>
    <col min="1" max="1" width="52" style="1" customWidth="1"/>
    <col min="2" max="2" width="10" style="1" customWidth="1"/>
    <col min="3" max="3" width="10.85546875" style="3" bestFit="1" customWidth="1"/>
    <col min="4" max="6" width="7.42578125" style="45" bestFit="1" customWidth="1"/>
    <col min="7" max="7" width="4.5703125" style="45" hidden="1" customWidth="1"/>
    <col min="8" max="8" width="10.85546875" style="45" hidden="1" customWidth="1"/>
    <col min="9" max="9" width="4.5703125" style="45" hidden="1" customWidth="1"/>
    <col min="10" max="10" width="7.7109375" style="45" bestFit="1" customWidth="1"/>
    <col min="11" max="11" width="7.42578125" style="45" bestFit="1" customWidth="1"/>
    <col min="12" max="12" width="7.7109375" style="45" bestFit="1" customWidth="1"/>
    <col min="13" max="13" width="7.7109375" style="45" customWidth="1"/>
    <col min="14" max="14" width="7.7109375" style="45" bestFit="1" customWidth="1"/>
    <col min="15" max="15" width="7.7109375" style="45" customWidth="1"/>
    <col min="16" max="16" width="7.42578125" style="45" bestFit="1" customWidth="1"/>
    <col min="17" max="18" width="7.7109375" style="45" bestFit="1" customWidth="1"/>
    <col min="19" max="19" width="7.7109375" style="45" hidden="1" customWidth="1"/>
    <col min="20" max="20" width="7.7109375" style="45" bestFit="1" customWidth="1"/>
    <col min="21" max="21" width="4.5703125" style="45" hidden="1" customWidth="1"/>
    <col min="22" max="22" width="7.7109375" style="45" bestFit="1" customWidth="1"/>
    <col min="23" max="23" width="4.5703125" style="45" hidden="1" customWidth="1"/>
    <col min="24" max="26" width="7.7109375" style="45" hidden="1" customWidth="1"/>
    <col min="27" max="27" width="10.85546875" style="45" hidden="1" customWidth="1"/>
    <col min="28" max="37" width="7.7109375" style="45" bestFit="1" customWidth="1"/>
    <col min="38" max="40" width="7.7109375" style="45" hidden="1" customWidth="1"/>
    <col min="41" max="44" width="7.7109375" style="45" bestFit="1" customWidth="1"/>
    <col min="45" max="45" width="7.7109375" style="45" hidden="1" customWidth="1"/>
    <col min="46" max="47" width="7.7109375" style="45" bestFit="1" customWidth="1"/>
    <col min="48" max="48" width="7.42578125" style="45" bestFit="1" customWidth="1"/>
    <col min="49" max="53" width="7.7109375" style="45" bestFit="1" customWidth="1"/>
    <col min="54" max="55" width="7.7109375" style="45" hidden="1" customWidth="1"/>
    <col min="56" max="57" width="7.7109375" style="45" bestFit="1" customWidth="1"/>
    <col min="58" max="58" width="4.5703125" style="3" hidden="1" customWidth="1"/>
    <col min="59" max="16384" width="9.140625" style="1"/>
  </cols>
  <sheetData>
    <row r="1" spans="1:58" ht="140.25" customHeight="1" x14ac:dyDescent="0.25">
      <c r="A1" s="54" t="s">
        <v>193</v>
      </c>
      <c r="B1" s="54"/>
      <c r="C1" s="21" t="s">
        <v>194</v>
      </c>
      <c r="D1" s="38" t="s">
        <v>164</v>
      </c>
      <c r="E1" s="48" t="s">
        <v>184</v>
      </c>
      <c r="F1" s="38" t="s">
        <v>165</v>
      </c>
      <c r="G1" s="38" t="s">
        <v>166</v>
      </c>
      <c r="H1" s="38" t="s">
        <v>86</v>
      </c>
      <c r="I1" s="38" t="s">
        <v>185</v>
      </c>
      <c r="J1" s="38" t="s">
        <v>187</v>
      </c>
      <c r="K1" s="38" t="s">
        <v>167</v>
      </c>
      <c r="L1" s="38" t="s">
        <v>168</v>
      </c>
      <c r="M1" s="38" t="s">
        <v>169</v>
      </c>
      <c r="N1" s="48" t="s">
        <v>170</v>
      </c>
      <c r="O1" s="48" t="s">
        <v>171</v>
      </c>
      <c r="P1" s="48" t="s">
        <v>186</v>
      </c>
      <c r="Q1" s="38" t="s">
        <v>174</v>
      </c>
      <c r="R1" s="48" t="s">
        <v>172</v>
      </c>
      <c r="S1" s="48" t="s">
        <v>173</v>
      </c>
      <c r="T1" s="48" t="s">
        <v>175</v>
      </c>
      <c r="U1" s="38" t="s">
        <v>176</v>
      </c>
      <c r="V1" s="48" t="s">
        <v>177</v>
      </c>
      <c r="W1" s="38" t="s">
        <v>189</v>
      </c>
      <c r="X1" s="38" t="s">
        <v>188</v>
      </c>
      <c r="Y1" s="38" t="s">
        <v>190</v>
      </c>
      <c r="Z1" s="38" t="s">
        <v>191</v>
      </c>
      <c r="AA1" s="38" t="s">
        <v>192</v>
      </c>
      <c r="AB1" s="38" t="s">
        <v>142</v>
      </c>
      <c r="AC1" s="38" t="s">
        <v>143</v>
      </c>
      <c r="AD1" s="38" t="s">
        <v>144</v>
      </c>
      <c r="AE1" s="38" t="s">
        <v>139</v>
      </c>
      <c r="AF1" s="38" t="s">
        <v>153</v>
      </c>
      <c r="AG1" s="38" t="s">
        <v>179</v>
      </c>
      <c r="AH1" s="38" t="s">
        <v>145</v>
      </c>
      <c r="AI1" s="38" t="s">
        <v>154</v>
      </c>
      <c r="AJ1" s="38" t="s">
        <v>155</v>
      </c>
      <c r="AK1" s="38" t="s">
        <v>178</v>
      </c>
      <c r="AL1" s="38" t="s">
        <v>180</v>
      </c>
      <c r="AM1" s="38" t="s">
        <v>156</v>
      </c>
      <c r="AN1" s="38" t="s">
        <v>163</v>
      </c>
      <c r="AO1" s="38" t="s">
        <v>140</v>
      </c>
      <c r="AP1" s="38" t="s">
        <v>157</v>
      </c>
      <c r="AQ1" s="38" t="s">
        <v>181</v>
      </c>
      <c r="AR1" s="38" t="s">
        <v>146</v>
      </c>
      <c r="AS1" s="38" t="s">
        <v>147</v>
      </c>
      <c r="AT1" s="38" t="s">
        <v>148</v>
      </c>
      <c r="AU1" s="38" t="s">
        <v>182</v>
      </c>
      <c r="AV1" s="38" t="s">
        <v>149</v>
      </c>
      <c r="AW1" s="48" t="s">
        <v>150</v>
      </c>
      <c r="AX1" s="38" t="s">
        <v>151</v>
      </c>
      <c r="AY1" s="38" t="s">
        <v>152</v>
      </c>
      <c r="AZ1" s="48" t="s">
        <v>183</v>
      </c>
      <c r="BA1" s="48" t="s">
        <v>141</v>
      </c>
      <c r="BB1" s="38" t="s">
        <v>158</v>
      </c>
      <c r="BC1" s="38" t="s">
        <v>159</v>
      </c>
      <c r="BD1" s="38" t="s">
        <v>160</v>
      </c>
      <c r="BE1" s="38" t="s">
        <v>161</v>
      </c>
      <c r="BF1" s="20" t="s">
        <v>162</v>
      </c>
    </row>
    <row r="2" spans="1:58" ht="20.25" x14ac:dyDescent="0.3">
      <c r="A2" s="57" t="s">
        <v>78</v>
      </c>
      <c r="B2" s="57"/>
      <c r="C2" s="34">
        <f>C4+C30</f>
        <v>5347</v>
      </c>
      <c r="D2" s="36">
        <f>(D5+D31)/2</f>
        <v>1</v>
      </c>
      <c r="E2" s="36">
        <f t="shared" ref="E2:BA2" si="0">(E5+E31)/2</f>
        <v>0.76181269078996361</v>
      </c>
      <c r="F2" s="36">
        <f t="shared" si="0"/>
        <v>0.99823943661971826</v>
      </c>
      <c r="G2" s="36"/>
      <c r="H2" s="36"/>
      <c r="I2" s="36"/>
      <c r="J2" s="36">
        <f>J5</f>
        <v>0.964349376114082</v>
      </c>
      <c r="K2" s="36">
        <f>(K5+K31)/2</f>
        <v>1</v>
      </c>
      <c r="L2" s="36">
        <f>L31</f>
        <v>0.99285714285714288</v>
      </c>
      <c r="M2" s="36">
        <f t="shared" ref="M2:O2" si="1">M31</f>
        <v>0.99</v>
      </c>
      <c r="N2" s="36">
        <f t="shared" si="1"/>
        <v>0.79625000000000001</v>
      </c>
      <c r="O2" s="36">
        <f t="shared" si="1"/>
        <v>0.80125000000000002</v>
      </c>
      <c r="P2" s="36">
        <f>(P5+P31)/2</f>
        <v>0.97045454545454546</v>
      </c>
      <c r="Q2" s="36">
        <f>Q31</f>
        <v>0.9893617021276595</v>
      </c>
      <c r="R2" s="36">
        <f>R31</f>
        <v>0.7790178571428571</v>
      </c>
      <c r="S2" s="36"/>
      <c r="T2" s="36">
        <f t="shared" ref="T2" si="2">T31</f>
        <v>0.80640243902439024</v>
      </c>
      <c r="U2" s="36"/>
      <c r="V2" s="36">
        <f t="shared" ref="V2" si="3">(V5+V31)/2</f>
        <v>0.76585227272727274</v>
      </c>
      <c r="W2" s="36"/>
      <c r="X2" s="36"/>
      <c r="Y2" s="36"/>
      <c r="Z2" s="36"/>
      <c r="AA2" s="36"/>
      <c r="AB2" s="36">
        <f t="shared" ref="AB2" si="4">(AB5+AB31)/2</f>
        <v>0.97750000000000004</v>
      </c>
      <c r="AC2" s="36">
        <f t="shared" si="0"/>
        <v>0.96022727272727271</v>
      </c>
      <c r="AD2" s="36">
        <f t="shared" si="0"/>
        <v>0.97909632034632033</v>
      </c>
      <c r="AE2" s="36">
        <f t="shared" si="0"/>
        <v>0.99750000000000005</v>
      </c>
      <c r="AF2" s="36">
        <f t="shared" si="0"/>
        <v>0.96464575726165513</v>
      </c>
      <c r="AG2" s="36">
        <f>AG5</f>
        <v>0.99818181818181817</v>
      </c>
      <c r="AH2" s="36">
        <f t="shared" si="0"/>
        <v>0.99374355973428186</v>
      </c>
      <c r="AI2" s="36">
        <f>AI5</f>
        <v>0.98852157943067032</v>
      </c>
      <c r="AJ2" s="36">
        <f t="shared" si="0"/>
        <v>0.99326704545454547</v>
      </c>
      <c r="AK2" s="36">
        <f t="shared" si="0"/>
        <v>0.99642476985040274</v>
      </c>
      <c r="AL2" s="36"/>
      <c r="AM2" s="36"/>
      <c r="AN2" s="36"/>
      <c r="AO2" s="36">
        <f t="shared" si="0"/>
        <v>0.98764204545454537</v>
      </c>
      <c r="AP2" s="36">
        <f t="shared" si="0"/>
        <v>0.98821548821548821</v>
      </c>
      <c r="AQ2" s="36">
        <f t="shared" si="0"/>
        <v>0.9698426573426574</v>
      </c>
      <c r="AR2" s="36">
        <f t="shared" si="0"/>
        <v>0.97562499999999996</v>
      </c>
      <c r="AS2" s="36"/>
      <c r="AT2" s="36">
        <f t="shared" si="0"/>
        <v>0.98028409090909097</v>
      </c>
      <c r="AU2" s="36">
        <f t="shared" si="0"/>
        <v>0.96539573107724108</v>
      </c>
      <c r="AV2" s="36">
        <f t="shared" si="0"/>
        <v>0.98769886363636361</v>
      </c>
      <c r="AW2" s="36">
        <f t="shared" si="0"/>
        <v>0.74963068181818182</v>
      </c>
      <c r="AX2" s="36">
        <f t="shared" si="0"/>
        <v>0.96209016393442626</v>
      </c>
      <c r="AY2" s="36">
        <f t="shared" si="0"/>
        <v>0.98110795454545452</v>
      </c>
      <c r="AZ2" s="36">
        <f t="shared" si="0"/>
        <v>0.9650568181818181</v>
      </c>
      <c r="BA2" s="36">
        <f t="shared" si="0"/>
        <v>0.85165456649831639</v>
      </c>
      <c r="BB2" s="36"/>
      <c r="BC2" s="36"/>
      <c r="BD2" s="36">
        <f>BD5</f>
        <v>0.98363636363636364</v>
      </c>
      <c r="BE2" s="36">
        <f>BE5</f>
        <v>0.99818181818181817</v>
      </c>
      <c r="BF2" s="24"/>
    </row>
    <row r="3" spans="1:58" s="46" customFormat="1" ht="18.75" x14ac:dyDescent="0.25">
      <c r="A3" s="55" t="s">
        <v>39</v>
      </c>
      <c r="B3" s="5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</row>
    <row r="4" spans="1:58" x14ac:dyDescent="0.25">
      <c r="A4" s="56" t="s">
        <v>77</v>
      </c>
      <c r="B4" s="56"/>
      <c r="C4" s="34">
        <f>SUM(D4:BF4)</f>
        <v>2397</v>
      </c>
      <c r="D4" s="19">
        <v>100</v>
      </c>
      <c r="E4" s="19">
        <v>99</v>
      </c>
      <c r="F4" s="19">
        <v>60</v>
      </c>
      <c r="G4" s="19"/>
      <c r="H4" s="19"/>
      <c r="I4" s="19"/>
      <c r="J4" s="19">
        <v>51</v>
      </c>
      <c r="K4" s="19">
        <v>101</v>
      </c>
      <c r="L4" s="19"/>
      <c r="M4" s="19"/>
      <c r="N4" s="19"/>
      <c r="O4" s="19"/>
      <c r="P4" s="19">
        <v>67</v>
      </c>
      <c r="Q4" s="19"/>
      <c r="R4" s="19"/>
      <c r="S4" s="19"/>
      <c r="T4" s="19"/>
      <c r="U4" s="19"/>
      <c r="V4" s="19">
        <v>100</v>
      </c>
      <c r="W4" s="19"/>
      <c r="X4" s="19"/>
      <c r="Y4" s="19"/>
      <c r="Z4" s="19"/>
      <c r="AA4" s="19"/>
      <c r="AB4" s="19">
        <v>50</v>
      </c>
      <c r="AC4" s="19">
        <v>50</v>
      </c>
      <c r="AD4" s="19">
        <v>100</v>
      </c>
      <c r="AE4" s="19">
        <v>100</v>
      </c>
      <c r="AF4" s="19">
        <v>34</v>
      </c>
      <c r="AG4" s="19">
        <v>47</v>
      </c>
      <c r="AH4" s="19">
        <v>49</v>
      </c>
      <c r="AI4" s="19">
        <v>198</v>
      </c>
      <c r="AJ4" s="19">
        <v>100</v>
      </c>
      <c r="AK4" s="19">
        <v>52</v>
      </c>
      <c r="AL4" s="19"/>
      <c r="AM4" s="19"/>
      <c r="AN4" s="19"/>
      <c r="AO4" s="19">
        <v>100</v>
      </c>
      <c r="AP4" s="19">
        <v>54</v>
      </c>
      <c r="AQ4" s="19">
        <v>100</v>
      </c>
      <c r="AR4" s="19">
        <v>50</v>
      </c>
      <c r="AS4" s="19"/>
      <c r="AT4" s="19">
        <v>50</v>
      </c>
      <c r="AU4" s="19">
        <v>79</v>
      </c>
      <c r="AV4" s="19">
        <v>50</v>
      </c>
      <c r="AW4" s="19">
        <v>20</v>
      </c>
      <c r="AX4" s="19">
        <v>61</v>
      </c>
      <c r="AY4" s="19">
        <v>100</v>
      </c>
      <c r="AZ4" s="19">
        <v>50</v>
      </c>
      <c r="BA4" s="19">
        <v>54</v>
      </c>
      <c r="BB4" s="19"/>
      <c r="BC4" s="19"/>
      <c r="BD4" s="19">
        <v>50</v>
      </c>
      <c r="BE4" s="19">
        <v>221</v>
      </c>
      <c r="BF4" s="34"/>
    </row>
    <row r="5" spans="1:58" ht="47.25" x14ac:dyDescent="0.25">
      <c r="A5" s="35" t="s">
        <v>0</v>
      </c>
      <c r="B5" s="35" t="s">
        <v>198</v>
      </c>
      <c r="C5" s="34"/>
      <c r="D5" s="39">
        <f>(SUM(D11:D13)+SUM(D21:D27)+D15+(IF(D9=5,100%,0%)+(IF(D8=5,100%,0%))))/11</f>
        <v>1</v>
      </c>
      <c r="E5" s="39">
        <f>(SUM(E11:E13)+SUM(E21:E27)+E15+(IF(E9=5,100%,0%)+(IF(E8=5,100%,0%))))/11</f>
        <v>0.71900826446280997</v>
      </c>
      <c r="F5" s="36">
        <f>(SUM(F11:F13)+SUM(F21:F27)+F15+(IF(F9=5,100%,0%)+(IF(F8=5,100%,0%))))/11</f>
        <v>1</v>
      </c>
      <c r="G5" s="36"/>
      <c r="H5" s="36"/>
      <c r="I5" s="36"/>
      <c r="J5" s="36">
        <f t="shared" ref="J5:BE5" si="5">(SUM(J11:J13)+SUM(J21:J27)+J15+(IF(J9=5,100%,0%)+(IF(J8=5,100%,0%))))/11</f>
        <v>0.964349376114082</v>
      </c>
      <c r="K5" s="36">
        <f t="shared" si="5"/>
        <v>1</v>
      </c>
      <c r="L5" s="36"/>
      <c r="M5" s="36"/>
      <c r="N5" s="36"/>
      <c r="O5" s="36"/>
      <c r="P5" s="36">
        <f t="shared" si="5"/>
        <v>0.99090909090909096</v>
      </c>
      <c r="Q5" s="36"/>
      <c r="R5" s="36"/>
      <c r="S5" s="36"/>
      <c r="T5" s="36"/>
      <c r="U5" s="36"/>
      <c r="V5" s="36">
        <f t="shared" ref="V5" si="6">(SUM(V11:V13)+SUM(V21:V27)+V15+(IF(V9=5,100%,0%)+(IF(V8=5,100%,0%))))/11</f>
        <v>0.72545454545454546</v>
      </c>
      <c r="W5" s="36"/>
      <c r="X5" s="36"/>
      <c r="Y5" s="36"/>
      <c r="Z5" s="36"/>
      <c r="AA5" s="36"/>
      <c r="AB5" s="36">
        <f t="shared" ref="AB5" si="7">(SUM(AB11:AB13)+SUM(AB21:AB27)+AB15+(IF(AB9=5,100%,0%)+(IF(AB8=5,100%,0%))))/11</f>
        <v>0.98000000000000009</v>
      </c>
      <c r="AC5" s="36">
        <f t="shared" si="5"/>
        <v>0.94545454545454544</v>
      </c>
      <c r="AD5" s="36">
        <f t="shared" si="5"/>
        <v>0.97545454545454546</v>
      </c>
      <c r="AE5" s="36">
        <f t="shared" si="5"/>
        <v>1</v>
      </c>
      <c r="AF5" s="36">
        <f t="shared" si="5"/>
        <v>0.96256684491978606</v>
      </c>
      <c r="AG5" s="36">
        <f t="shared" si="5"/>
        <v>0.99818181818181817</v>
      </c>
      <c r="AH5" s="36">
        <f t="shared" si="5"/>
        <v>0.99173553719008256</v>
      </c>
      <c r="AI5" s="36">
        <f t="shared" si="5"/>
        <v>0.98852157943067032</v>
      </c>
      <c r="AJ5" s="36">
        <f t="shared" si="5"/>
        <v>0.99090909090909096</v>
      </c>
      <c r="AK5" s="36">
        <f t="shared" si="5"/>
        <v>0.99818181818181817</v>
      </c>
      <c r="AL5" s="36"/>
      <c r="AM5" s="36"/>
      <c r="AN5" s="36"/>
      <c r="AO5" s="36">
        <f t="shared" si="5"/>
        <v>0.98090909090909084</v>
      </c>
      <c r="AP5" s="36">
        <f t="shared" si="5"/>
        <v>0.97643097643097643</v>
      </c>
      <c r="AQ5" s="36">
        <f t="shared" si="5"/>
        <v>0.96468531468531471</v>
      </c>
      <c r="AR5" s="36">
        <f t="shared" si="5"/>
        <v>0.95999999999999985</v>
      </c>
      <c r="AS5" s="36"/>
      <c r="AT5" s="36">
        <f t="shared" si="5"/>
        <v>0.98181818181818192</v>
      </c>
      <c r="AU5" s="36">
        <f t="shared" si="5"/>
        <v>0.9447640966628309</v>
      </c>
      <c r="AV5" s="36">
        <f t="shared" si="5"/>
        <v>0.98727272727272719</v>
      </c>
      <c r="AW5" s="36">
        <f t="shared" si="5"/>
        <v>0.70363636363636362</v>
      </c>
      <c r="AX5" s="36">
        <f t="shared" si="5"/>
        <v>0.95827123695976157</v>
      </c>
      <c r="AY5" s="36">
        <f t="shared" si="5"/>
        <v>0.97909090909090901</v>
      </c>
      <c r="AZ5" s="36">
        <f t="shared" si="5"/>
        <v>0.9563636363636363</v>
      </c>
      <c r="BA5" s="36">
        <f t="shared" si="5"/>
        <v>0.79966329966329963</v>
      </c>
      <c r="BB5" s="36"/>
      <c r="BC5" s="36"/>
      <c r="BD5" s="36">
        <f t="shared" si="5"/>
        <v>0.98363636363636364</v>
      </c>
      <c r="BE5" s="36">
        <f t="shared" si="5"/>
        <v>0.99818181818181817</v>
      </c>
      <c r="BF5" s="24"/>
    </row>
    <row r="6" spans="1:58" s="47" customFormat="1" x14ac:dyDescent="0.25">
      <c r="A6" s="52" t="s">
        <v>2</v>
      </c>
      <c r="B6" s="5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ht="31.5" x14ac:dyDescent="0.25">
      <c r="A7" s="28" t="s">
        <v>3</v>
      </c>
      <c r="B7" s="35"/>
      <c r="C7" s="34"/>
      <c r="D7" s="19">
        <v>0</v>
      </c>
      <c r="E7" s="19">
        <v>0</v>
      </c>
      <c r="F7" s="19">
        <v>0</v>
      </c>
      <c r="G7" s="19"/>
      <c r="H7" s="19"/>
      <c r="I7" s="19"/>
      <c r="J7" s="19"/>
      <c r="K7" s="19">
        <v>0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>
        <v>0</v>
      </c>
      <c r="AC7" s="19">
        <v>0</v>
      </c>
      <c r="AD7" s="19"/>
      <c r="AE7" s="19">
        <v>0</v>
      </c>
      <c r="AF7" s="19"/>
      <c r="AG7" s="19">
        <v>0</v>
      </c>
      <c r="AH7" s="19">
        <v>0</v>
      </c>
      <c r="AI7" s="19">
        <v>0</v>
      </c>
      <c r="AJ7" s="19"/>
      <c r="AK7" s="19">
        <v>0</v>
      </c>
      <c r="AL7" s="19"/>
      <c r="AM7" s="19"/>
      <c r="AN7" s="19"/>
      <c r="AO7" s="19">
        <v>0</v>
      </c>
      <c r="AP7" s="19"/>
      <c r="AQ7" s="19">
        <v>0</v>
      </c>
      <c r="AR7" s="19">
        <v>0</v>
      </c>
      <c r="AS7" s="19"/>
      <c r="AT7" s="19"/>
      <c r="AU7" s="19">
        <v>0</v>
      </c>
      <c r="AV7" s="19"/>
      <c r="AW7" s="19">
        <v>0</v>
      </c>
      <c r="AX7" s="19">
        <v>0</v>
      </c>
      <c r="AY7" s="19">
        <v>0</v>
      </c>
      <c r="AZ7" s="19">
        <v>0</v>
      </c>
      <c r="BA7" s="19"/>
      <c r="BB7" s="19"/>
      <c r="BC7" s="19"/>
      <c r="BD7" s="19">
        <v>0</v>
      </c>
      <c r="BE7" s="19"/>
      <c r="BF7" s="34"/>
    </row>
    <row r="8" spans="1:58" ht="47.25" x14ac:dyDescent="0.25">
      <c r="A8" s="2" t="s">
        <v>4</v>
      </c>
      <c r="B8" s="35" t="s">
        <v>5</v>
      </c>
      <c r="C8" s="34"/>
      <c r="D8" s="19">
        <v>5</v>
      </c>
      <c r="E8" s="51">
        <v>0</v>
      </c>
      <c r="F8" s="19">
        <v>5</v>
      </c>
      <c r="G8" s="19"/>
      <c r="H8" s="19"/>
      <c r="I8" s="19"/>
      <c r="J8" s="19">
        <v>5</v>
      </c>
      <c r="K8" s="19">
        <v>5</v>
      </c>
      <c r="L8" s="19"/>
      <c r="M8" s="19"/>
      <c r="N8" s="19"/>
      <c r="O8" s="19"/>
      <c r="P8" s="19">
        <v>5</v>
      </c>
      <c r="Q8" s="19"/>
      <c r="R8" s="19"/>
      <c r="S8" s="19"/>
      <c r="T8" s="19"/>
      <c r="U8" s="19"/>
      <c r="V8" s="51">
        <v>0</v>
      </c>
      <c r="W8" s="19"/>
      <c r="X8" s="19"/>
      <c r="Y8" s="19"/>
      <c r="Z8" s="19"/>
      <c r="AA8" s="19"/>
      <c r="AB8" s="19">
        <v>5</v>
      </c>
      <c r="AC8" s="19">
        <v>5</v>
      </c>
      <c r="AD8" s="19">
        <v>5</v>
      </c>
      <c r="AE8" s="19">
        <v>5</v>
      </c>
      <c r="AF8" s="19">
        <v>5</v>
      </c>
      <c r="AG8" s="19">
        <v>5</v>
      </c>
      <c r="AH8" s="19">
        <v>5</v>
      </c>
      <c r="AI8" s="19">
        <v>5</v>
      </c>
      <c r="AJ8" s="19">
        <v>5</v>
      </c>
      <c r="AK8" s="19">
        <v>5</v>
      </c>
      <c r="AL8" s="19"/>
      <c r="AM8" s="19"/>
      <c r="AN8" s="19"/>
      <c r="AO8" s="19">
        <v>5</v>
      </c>
      <c r="AP8" s="19">
        <v>5</v>
      </c>
      <c r="AQ8" s="19">
        <v>5</v>
      </c>
      <c r="AR8" s="19">
        <v>5</v>
      </c>
      <c r="AS8" s="19"/>
      <c r="AT8" s="19">
        <v>5</v>
      </c>
      <c r="AU8" s="19">
        <v>5</v>
      </c>
      <c r="AV8" s="19">
        <v>5</v>
      </c>
      <c r="AW8" s="51">
        <v>0</v>
      </c>
      <c r="AX8" s="19">
        <v>5</v>
      </c>
      <c r="AY8" s="19">
        <v>5</v>
      </c>
      <c r="AZ8" s="19">
        <v>5</v>
      </c>
      <c r="BA8" s="19">
        <v>5</v>
      </c>
      <c r="BB8" s="19"/>
      <c r="BC8" s="19"/>
      <c r="BD8" s="19">
        <v>5</v>
      </c>
      <c r="BE8" s="19">
        <v>5</v>
      </c>
      <c r="BF8" s="34"/>
    </row>
    <row r="9" spans="1:58" ht="47.25" x14ac:dyDescent="0.25">
      <c r="A9" s="29" t="s">
        <v>6</v>
      </c>
      <c r="B9" s="35" t="s">
        <v>5</v>
      </c>
      <c r="C9" s="34"/>
      <c r="D9" s="19">
        <v>5</v>
      </c>
      <c r="E9" s="51">
        <v>0</v>
      </c>
      <c r="F9" s="19">
        <v>5</v>
      </c>
      <c r="G9" s="19"/>
      <c r="H9" s="19"/>
      <c r="I9" s="19"/>
      <c r="J9" s="19">
        <v>5</v>
      </c>
      <c r="K9" s="19">
        <v>5</v>
      </c>
      <c r="L9" s="19"/>
      <c r="M9" s="19"/>
      <c r="N9" s="19"/>
      <c r="O9" s="19"/>
      <c r="P9" s="19">
        <v>5</v>
      </c>
      <c r="Q9" s="19"/>
      <c r="R9" s="19"/>
      <c r="S9" s="19"/>
      <c r="T9" s="19"/>
      <c r="U9" s="19"/>
      <c r="V9" s="51">
        <v>0</v>
      </c>
      <c r="W9" s="19"/>
      <c r="X9" s="19"/>
      <c r="Y9" s="19"/>
      <c r="Z9" s="19"/>
      <c r="AA9" s="19"/>
      <c r="AB9" s="19">
        <v>5</v>
      </c>
      <c r="AC9" s="19">
        <v>5</v>
      </c>
      <c r="AD9" s="19">
        <v>5</v>
      </c>
      <c r="AE9" s="19">
        <v>5</v>
      </c>
      <c r="AF9" s="19">
        <v>5</v>
      </c>
      <c r="AG9" s="19">
        <v>5</v>
      </c>
      <c r="AH9" s="19">
        <v>5</v>
      </c>
      <c r="AI9" s="19">
        <v>5</v>
      </c>
      <c r="AJ9" s="19">
        <v>5</v>
      </c>
      <c r="AK9" s="19">
        <v>5</v>
      </c>
      <c r="AL9" s="19"/>
      <c r="AM9" s="19"/>
      <c r="AN9" s="19"/>
      <c r="AO9" s="19">
        <v>5</v>
      </c>
      <c r="AP9" s="19">
        <v>5</v>
      </c>
      <c r="AQ9" s="19">
        <v>5</v>
      </c>
      <c r="AR9" s="19">
        <v>5</v>
      </c>
      <c r="AS9" s="19"/>
      <c r="AT9" s="19">
        <v>5</v>
      </c>
      <c r="AU9" s="19">
        <v>5</v>
      </c>
      <c r="AV9" s="19">
        <v>5</v>
      </c>
      <c r="AW9" s="51">
        <v>0</v>
      </c>
      <c r="AX9" s="19">
        <v>5</v>
      </c>
      <c r="AY9" s="19">
        <v>5</v>
      </c>
      <c r="AZ9" s="19">
        <v>5</v>
      </c>
      <c r="BA9" s="19">
        <v>5</v>
      </c>
      <c r="BB9" s="19"/>
      <c r="BC9" s="19"/>
      <c r="BD9" s="19">
        <v>5</v>
      </c>
      <c r="BE9" s="19">
        <v>5</v>
      </c>
      <c r="BF9" s="34"/>
    </row>
    <row r="10" spans="1:58" ht="63" x14ac:dyDescent="0.25">
      <c r="A10" s="2" t="s">
        <v>7</v>
      </c>
      <c r="B10" s="35" t="s">
        <v>8</v>
      </c>
      <c r="C10" s="34"/>
      <c r="D10" s="37">
        <f>SUM(D11:D13,D15,D21:D27)/9</f>
        <v>1</v>
      </c>
      <c r="E10" s="37">
        <f>SUM(E11:E13,E15,E21:E27)/9</f>
        <v>0.87878787878787878</v>
      </c>
      <c r="F10" s="37">
        <f t="shared" ref="F10" si="8">SUM(F11:F13,F15,F21:F27)/9</f>
        <v>1</v>
      </c>
      <c r="G10" s="37"/>
      <c r="H10" s="37"/>
      <c r="I10" s="37"/>
      <c r="J10" s="37">
        <f t="shared" ref="J10:K10" si="9">SUM(J11:J13,J15,J21:J27)/9</f>
        <v>0.95642701525054485</v>
      </c>
      <c r="K10" s="37">
        <f t="shared" si="9"/>
        <v>1</v>
      </c>
      <c r="L10" s="37"/>
      <c r="M10" s="37"/>
      <c r="N10" s="37"/>
      <c r="O10" s="37"/>
      <c r="P10" s="37">
        <f>SUM(P11:P13,P15,P21:P27)/9</f>
        <v>0.98888888888888871</v>
      </c>
      <c r="Q10" s="37"/>
      <c r="R10" s="37"/>
      <c r="S10" s="37"/>
      <c r="T10" s="37"/>
      <c r="U10" s="37"/>
      <c r="V10" s="37">
        <f t="shared" ref="V10" si="10">SUM(V11:V13,V15,V21:V27)/9</f>
        <v>0.88666666666666671</v>
      </c>
      <c r="W10" s="37"/>
      <c r="X10" s="37"/>
      <c r="Y10" s="37"/>
      <c r="Z10" s="37"/>
      <c r="AA10" s="37"/>
      <c r="AB10" s="37">
        <f t="shared" ref="AB10:AD10" si="11">SUM(AB11:AB13,AB15,AB21:AB27)/9</f>
        <v>0.97555555555555551</v>
      </c>
      <c r="AC10" s="37">
        <f t="shared" si="11"/>
        <v>0.93333333333333335</v>
      </c>
      <c r="AD10" s="37">
        <f t="shared" si="11"/>
        <v>0.97000000000000008</v>
      </c>
      <c r="AE10" s="37">
        <f t="shared" ref="AE10:AF10" si="12">SUM(AE11:AE13,AE15,AE21:AE27)/9</f>
        <v>1</v>
      </c>
      <c r="AF10" s="37">
        <f t="shared" si="12"/>
        <v>0.95424836601307206</v>
      </c>
      <c r="AG10" s="37">
        <f t="shared" ref="AG10:AH10" si="13">SUM(AG11:AG13,AG15,AG21:AG27)/9</f>
        <v>0.99777777777777787</v>
      </c>
      <c r="AH10" s="37">
        <f t="shared" si="13"/>
        <v>0.98989898989899006</v>
      </c>
      <c r="AI10" s="37">
        <f>SUM(AI11:AI13,AI15,AI21:AI27)/9</f>
        <v>0.98597081930415265</v>
      </c>
      <c r="AJ10" s="37">
        <f>SUM(AJ11:AJ13,AJ15,AJ21:AJ27)/9</f>
        <v>0.98888888888888893</v>
      </c>
      <c r="AK10" s="37">
        <f t="shared" ref="AK10" si="14">SUM(AK11:AK13,AK15,AK21:AK27)/9</f>
        <v>0.99777777777777787</v>
      </c>
      <c r="AL10" s="37"/>
      <c r="AM10" s="37"/>
      <c r="AN10" s="37"/>
      <c r="AO10" s="37">
        <f t="shared" ref="AO10" si="15">SUM(AO11:AO13,AO15,AO21:AO27)/9</f>
        <v>0.97666666666666657</v>
      </c>
      <c r="AP10" s="37">
        <f t="shared" ref="AP10:AR10" si="16">SUM(AP11:AP13,AP15,AP21:AP27)/9</f>
        <v>0.9711934156378601</v>
      </c>
      <c r="AQ10" s="37">
        <f t="shared" si="16"/>
        <v>0.95683760683760666</v>
      </c>
      <c r="AR10" s="37">
        <f t="shared" si="16"/>
        <v>0.95111111111111113</v>
      </c>
      <c r="AS10" s="37"/>
      <c r="AT10" s="37">
        <f t="shared" ref="AT10:BA10" si="17">SUM(AT11:AT13,AT15,AT21:AT27)/9</f>
        <v>0.97777777777777786</v>
      </c>
      <c r="AU10" s="37">
        <f t="shared" si="17"/>
        <v>0.9324894514767933</v>
      </c>
      <c r="AV10" s="37">
        <f t="shared" si="17"/>
        <v>0.98444444444444434</v>
      </c>
      <c r="AW10" s="37">
        <f t="shared" si="17"/>
        <v>0.86</v>
      </c>
      <c r="AX10" s="37">
        <f t="shared" si="17"/>
        <v>0.94899817850637525</v>
      </c>
      <c r="AY10" s="37">
        <f t="shared" si="17"/>
        <v>0.97444444444444445</v>
      </c>
      <c r="AZ10" s="37">
        <f t="shared" si="17"/>
        <v>0.94666666666666666</v>
      </c>
      <c r="BA10" s="49">
        <f t="shared" si="17"/>
        <v>0.75514403292181076</v>
      </c>
      <c r="BB10" s="37"/>
      <c r="BC10" s="37"/>
      <c r="BD10" s="37">
        <f t="shared" ref="BD10:BE10" si="18">SUM(BD11:BD13,BD15,BD21:BD27)/9</f>
        <v>0.98</v>
      </c>
      <c r="BE10" s="37">
        <f t="shared" si="18"/>
        <v>0.99777777777777787</v>
      </c>
      <c r="BF10" s="13"/>
    </row>
    <row r="11" spans="1:58" ht="63" x14ac:dyDescent="0.25">
      <c r="A11" s="29" t="s">
        <v>9</v>
      </c>
      <c r="B11" s="35" t="s">
        <v>10</v>
      </c>
      <c r="C11" s="34"/>
      <c r="D11" s="40">
        <v>1</v>
      </c>
      <c r="E11" s="50">
        <v>0</v>
      </c>
      <c r="F11" s="37">
        <v>1</v>
      </c>
      <c r="G11" s="19"/>
      <c r="H11" s="19"/>
      <c r="I11" s="19"/>
      <c r="J11" s="37">
        <f>49/51</f>
        <v>0.96078431372549022</v>
      </c>
      <c r="K11" s="40">
        <v>1</v>
      </c>
      <c r="L11" s="19"/>
      <c r="M11" s="19"/>
      <c r="N11" s="19"/>
      <c r="O11" s="19"/>
      <c r="P11" s="37">
        <f>48/50</f>
        <v>0.96</v>
      </c>
      <c r="Q11" s="19"/>
      <c r="R11" s="19"/>
      <c r="S11" s="19"/>
      <c r="T11" s="19"/>
      <c r="U11" s="19"/>
      <c r="V11" s="49">
        <v>0</v>
      </c>
      <c r="W11" s="19"/>
      <c r="X11" s="19"/>
      <c r="Y11" s="19"/>
      <c r="Z11" s="19"/>
      <c r="AA11" s="19"/>
      <c r="AB11" s="40">
        <f>49/50</f>
        <v>0.98</v>
      </c>
      <c r="AC11" s="40">
        <v>1</v>
      </c>
      <c r="AD11" s="37">
        <v>1</v>
      </c>
      <c r="AE11" s="40">
        <v>1</v>
      </c>
      <c r="AF11" s="37">
        <f>30/34</f>
        <v>0.88235294117647056</v>
      </c>
      <c r="AG11" s="37">
        <v>1</v>
      </c>
      <c r="AH11" s="37">
        <v>1</v>
      </c>
      <c r="AI11" s="37">
        <f>192/198</f>
        <v>0.96969696969696972</v>
      </c>
      <c r="AJ11" s="40">
        <v>0.98</v>
      </c>
      <c r="AK11" s="37">
        <v>1</v>
      </c>
      <c r="AL11" s="19"/>
      <c r="AM11" s="19"/>
      <c r="AN11" s="19"/>
      <c r="AO11" s="40">
        <f>97/100</f>
        <v>0.97</v>
      </c>
      <c r="AP11" s="37">
        <f>53/54</f>
        <v>0.98148148148148151</v>
      </c>
      <c r="AQ11" s="40">
        <f>92/100</f>
        <v>0.92</v>
      </c>
      <c r="AR11" s="40">
        <f>46/50</f>
        <v>0.92</v>
      </c>
      <c r="AS11" s="19"/>
      <c r="AT11" s="41">
        <f>48/50</f>
        <v>0.96</v>
      </c>
      <c r="AU11" s="40">
        <f>74/79</f>
        <v>0.93670886075949367</v>
      </c>
      <c r="AV11" s="40">
        <v>0.98</v>
      </c>
      <c r="AW11" s="51">
        <v>0</v>
      </c>
      <c r="AX11" s="40">
        <f>53/61</f>
        <v>0.86885245901639341</v>
      </c>
      <c r="AY11" s="40">
        <f>96/100</f>
        <v>0.96</v>
      </c>
      <c r="AZ11" s="40">
        <f>42/50</f>
        <v>0.84</v>
      </c>
      <c r="BA11" s="49">
        <f>39/54</f>
        <v>0.72222222222222221</v>
      </c>
      <c r="BB11" s="19"/>
      <c r="BC11" s="19"/>
      <c r="BD11" s="40">
        <v>1</v>
      </c>
      <c r="BE11" s="40">
        <v>1</v>
      </c>
      <c r="BF11" s="34"/>
    </row>
    <row r="12" spans="1:58" s="47" customFormat="1" x14ac:dyDescent="0.25">
      <c r="A12" s="52" t="s">
        <v>38</v>
      </c>
      <c r="B12" s="52"/>
      <c r="C12" s="12"/>
      <c r="D12" s="12"/>
      <c r="E12" s="12"/>
      <c r="F12" s="2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2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ht="47.25" x14ac:dyDescent="0.25">
      <c r="A13" s="2" t="s">
        <v>11</v>
      </c>
      <c r="B13" s="35" t="s">
        <v>12</v>
      </c>
      <c r="C13" s="34"/>
      <c r="D13" s="40">
        <v>1</v>
      </c>
      <c r="E13" s="40">
        <v>1</v>
      </c>
      <c r="F13" s="40">
        <v>1</v>
      </c>
      <c r="G13" s="19"/>
      <c r="H13" s="19"/>
      <c r="I13" s="19"/>
      <c r="J13" s="37">
        <v>1</v>
      </c>
      <c r="K13" s="40">
        <v>1</v>
      </c>
      <c r="L13" s="19"/>
      <c r="M13" s="19"/>
      <c r="N13" s="19"/>
      <c r="O13" s="19"/>
      <c r="P13" s="37">
        <v>1</v>
      </c>
      <c r="Q13" s="19"/>
      <c r="R13" s="19"/>
      <c r="S13" s="19"/>
      <c r="T13" s="19"/>
      <c r="U13" s="19"/>
      <c r="V13" s="37">
        <v>1</v>
      </c>
      <c r="W13" s="19"/>
      <c r="X13" s="19"/>
      <c r="Y13" s="19"/>
      <c r="Z13" s="19"/>
      <c r="AA13" s="19"/>
      <c r="AB13" s="40">
        <v>1</v>
      </c>
      <c r="AC13" s="40">
        <v>1</v>
      </c>
      <c r="AD13" s="37">
        <v>1</v>
      </c>
      <c r="AE13" s="40">
        <v>1</v>
      </c>
      <c r="AF13" s="37">
        <v>1</v>
      </c>
      <c r="AG13" s="37">
        <v>1</v>
      </c>
      <c r="AH13" s="37">
        <v>1</v>
      </c>
      <c r="AI13" s="37">
        <v>1</v>
      </c>
      <c r="AJ13" s="40">
        <v>1</v>
      </c>
      <c r="AK13" s="37">
        <v>1</v>
      </c>
      <c r="AL13" s="19"/>
      <c r="AM13" s="19"/>
      <c r="AN13" s="19"/>
      <c r="AO13" s="40">
        <v>1</v>
      </c>
      <c r="AP13" s="37">
        <v>1</v>
      </c>
      <c r="AQ13" s="40">
        <v>1</v>
      </c>
      <c r="AR13" s="40">
        <v>1</v>
      </c>
      <c r="AS13" s="19"/>
      <c r="AT13" s="40">
        <v>1</v>
      </c>
      <c r="AU13" s="40">
        <v>1</v>
      </c>
      <c r="AV13" s="40">
        <v>1</v>
      </c>
      <c r="AW13" s="40">
        <v>1</v>
      </c>
      <c r="AX13" s="40">
        <v>1</v>
      </c>
      <c r="AY13" s="40">
        <v>1</v>
      </c>
      <c r="AZ13" s="40">
        <v>1</v>
      </c>
      <c r="BA13" s="37">
        <v>1</v>
      </c>
      <c r="BB13" s="19"/>
      <c r="BC13" s="19"/>
      <c r="BD13" s="40">
        <v>1</v>
      </c>
      <c r="BE13" s="37">
        <v>1</v>
      </c>
      <c r="BF13" s="34"/>
    </row>
    <row r="14" spans="1:58" ht="31.5" x14ac:dyDescent="0.25">
      <c r="A14" s="29" t="s">
        <v>195</v>
      </c>
      <c r="B14" s="35" t="s">
        <v>14</v>
      </c>
      <c r="C14" s="34"/>
      <c r="D14" s="19">
        <v>7</v>
      </c>
      <c r="E14" s="19">
        <v>5</v>
      </c>
      <c r="F14" s="42">
        <v>1</v>
      </c>
      <c r="G14" s="19"/>
      <c r="H14" s="19"/>
      <c r="I14" s="19"/>
      <c r="J14" s="19">
        <v>0</v>
      </c>
      <c r="K14" s="19">
        <v>0</v>
      </c>
      <c r="L14" s="19"/>
      <c r="M14" s="19"/>
      <c r="N14" s="19"/>
      <c r="O14" s="19"/>
      <c r="P14" s="19">
        <v>0</v>
      </c>
      <c r="Q14" s="19"/>
      <c r="R14" s="19"/>
      <c r="S14" s="19"/>
      <c r="T14" s="19"/>
      <c r="U14" s="19"/>
      <c r="V14" s="19">
        <v>0</v>
      </c>
      <c r="W14" s="19"/>
      <c r="X14" s="19"/>
      <c r="Y14" s="19"/>
      <c r="Z14" s="19"/>
      <c r="AA14" s="19"/>
      <c r="AB14" s="19">
        <v>1</v>
      </c>
      <c r="AC14" s="19">
        <v>2</v>
      </c>
      <c r="AD14" s="19">
        <v>2</v>
      </c>
      <c r="AE14" s="19">
        <v>1</v>
      </c>
      <c r="AF14" s="19">
        <v>0.01</v>
      </c>
      <c r="AG14" s="19">
        <v>1</v>
      </c>
      <c r="AH14" s="19">
        <v>1</v>
      </c>
      <c r="AI14" s="19">
        <v>1</v>
      </c>
      <c r="AJ14" s="19">
        <v>1</v>
      </c>
      <c r="AK14" s="19">
        <v>1</v>
      </c>
      <c r="AL14" s="19"/>
      <c r="AM14" s="19"/>
      <c r="AN14" s="19"/>
      <c r="AO14" s="19">
        <v>3</v>
      </c>
      <c r="AP14" s="19">
        <v>2</v>
      </c>
      <c r="AQ14" s="19">
        <v>2</v>
      </c>
      <c r="AR14" s="19">
        <v>3</v>
      </c>
      <c r="AS14" s="19"/>
      <c r="AT14" s="19">
        <v>3</v>
      </c>
      <c r="AU14" s="19">
        <v>2</v>
      </c>
      <c r="AV14" s="19">
        <v>4</v>
      </c>
      <c r="AW14" s="19">
        <v>1</v>
      </c>
      <c r="AX14" s="19">
        <v>3</v>
      </c>
      <c r="AY14" s="19">
        <v>3</v>
      </c>
      <c r="AZ14" s="19">
        <v>2</v>
      </c>
      <c r="BA14" s="19">
        <v>3</v>
      </c>
      <c r="BB14" s="19"/>
      <c r="BC14" s="19"/>
      <c r="BD14" s="43">
        <v>0</v>
      </c>
      <c r="BE14" s="19">
        <v>0</v>
      </c>
      <c r="BF14" s="34"/>
    </row>
    <row r="15" spans="1:58" ht="63" x14ac:dyDescent="0.25">
      <c r="A15" s="29" t="s">
        <v>15</v>
      </c>
      <c r="B15" s="35" t="s">
        <v>16</v>
      </c>
      <c r="C15" s="34"/>
      <c r="D15" s="40">
        <v>1</v>
      </c>
      <c r="E15" s="40">
        <f>97/99</f>
        <v>0.97979797979797978</v>
      </c>
      <c r="F15" s="40">
        <v>1</v>
      </c>
      <c r="G15" s="19"/>
      <c r="H15" s="19"/>
      <c r="I15" s="19"/>
      <c r="J15" s="37">
        <v>1</v>
      </c>
      <c r="K15" s="40">
        <v>1</v>
      </c>
      <c r="L15" s="19"/>
      <c r="M15" s="19"/>
      <c r="N15" s="19"/>
      <c r="O15" s="19"/>
      <c r="P15" s="37">
        <v>1</v>
      </c>
      <c r="Q15" s="19"/>
      <c r="R15" s="19"/>
      <c r="S15" s="19"/>
      <c r="T15" s="19"/>
      <c r="U15" s="19"/>
      <c r="V15" s="37">
        <v>1</v>
      </c>
      <c r="W15" s="19"/>
      <c r="X15" s="19"/>
      <c r="Y15" s="19"/>
      <c r="Z15" s="19"/>
      <c r="AA15" s="19"/>
      <c r="AB15" s="40">
        <f>45/50</f>
        <v>0.9</v>
      </c>
      <c r="AC15" s="40">
        <v>1</v>
      </c>
      <c r="AD15" s="37">
        <v>1</v>
      </c>
      <c r="AE15" s="40">
        <v>1</v>
      </c>
      <c r="AF15" s="37">
        <f>31/34</f>
        <v>0.91176470588235292</v>
      </c>
      <c r="AG15" s="37">
        <v>0.98</v>
      </c>
      <c r="AH15" s="37">
        <f>10/11</f>
        <v>0.90909090909090906</v>
      </c>
      <c r="AI15" s="37">
        <f>190/198</f>
        <v>0.95959595959595956</v>
      </c>
      <c r="AJ15" s="40">
        <v>0.98</v>
      </c>
      <c r="AK15" s="40">
        <v>0.98</v>
      </c>
      <c r="AL15" s="19"/>
      <c r="AM15" s="19"/>
      <c r="AN15" s="19"/>
      <c r="AO15" s="37">
        <v>1</v>
      </c>
      <c r="AP15" s="37">
        <v>1</v>
      </c>
      <c r="AQ15" s="40">
        <f>96/100</f>
        <v>0.96</v>
      </c>
      <c r="AR15" s="37">
        <f>43/50</f>
        <v>0.86</v>
      </c>
      <c r="AS15" s="19"/>
      <c r="AT15" s="37">
        <f>46/50</f>
        <v>0.92</v>
      </c>
      <c r="AU15" s="40">
        <f>76/79</f>
        <v>0.96202531645569622</v>
      </c>
      <c r="AV15" s="40">
        <v>0.94</v>
      </c>
      <c r="AW15" s="40">
        <v>0.9</v>
      </c>
      <c r="AX15" s="41">
        <f>60/61</f>
        <v>0.98360655737704916</v>
      </c>
      <c r="AY15" s="40">
        <f>94/100</f>
        <v>0.94</v>
      </c>
      <c r="AZ15" s="40">
        <f>47/50</f>
        <v>0.94</v>
      </c>
      <c r="BA15" s="37">
        <f>49/54</f>
        <v>0.90740740740740744</v>
      </c>
      <c r="BB15" s="19"/>
      <c r="BC15" s="19"/>
      <c r="BD15" s="40">
        <v>0.84</v>
      </c>
      <c r="BE15" s="37">
        <v>0.98</v>
      </c>
      <c r="BF15" s="34"/>
    </row>
    <row r="16" spans="1:58" s="47" customFormat="1" x14ac:dyDescent="0.25">
      <c r="A16" s="52" t="s">
        <v>17</v>
      </c>
      <c r="B16" s="5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31.5" x14ac:dyDescent="0.25">
      <c r="A17" s="29" t="s">
        <v>18</v>
      </c>
      <c r="B17" s="35" t="s">
        <v>19</v>
      </c>
      <c r="C17" s="34"/>
      <c r="D17" s="19">
        <v>9</v>
      </c>
      <c r="E17" s="19">
        <v>20</v>
      </c>
      <c r="F17" s="19">
        <v>15</v>
      </c>
      <c r="G17" s="19"/>
      <c r="H17" s="19"/>
      <c r="I17" s="19"/>
      <c r="J17" s="19">
        <v>15</v>
      </c>
      <c r="K17" s="19">
        <v>10</v>
      </c>
      <c r="L17" s="19"/>
      <c r="M17" s="19"/>
      <c r="N17" s="19"/>
      <c r="O17" s="19"/>
      <c r="P17" s="19">
        <v>12</v>
      </c>
      <c r="Q17" s="19"/>
      <c r="R17" s="19"/>
      <c r="S17" s="19"/>
      <c r="T17" s="19"/>
      <c r="U17" s="19"/>
      <c r="V17" s="19">
        <v>10</v>
      </c>
      <c r="W17" s="19"/>
      <c r="X17" s="19"/>
      <c r="Y17" s="19"/>
      <c r="Z17" s="19"/>
      <c r="AA17" s="19"/>
      <c r="AB17" s="19">
        <v>14</v>
      </c>
      <c r="AC17" s="19">
        <v>5</v>
      </c>
      <c r="AD17" s="19">
        <v>15</v>
      </c>
      <c r="AE17" s="19">
        <v>9</v>
      </c>
      <c r="AF17" s="19">
        <v>10</v>
      </c>
      <c r="AG17" s="19">
        <v>10</v>
      </c>
      <c r="AH17" s="19">
        <v>10</v>
      </c>
      <c r="AI17" s="19">
        <v>10</v>
      </c>
      <c r="AJ17" s="19">
        <v>15</v>
      </c>
      <c r="AK17" s="19">
        <v>12</v>
      </c>
      <c r="AL17" s="19"/>
      <c r="AM17" s="19"/>
      <c r="AN17" s="19"/>
      <c r="AO17" s="19">
        <v>11</v>
      </c>
      <c r="AP17" s="19">
        <v>15</v>
      </c>
      <c r="AQ17" s="19">
        <v>10</v>
      </c>
      <c r="AR17" s="19">
        <v>11</v>
      </c>
      <c r="AS17" s="19"/>
      <c r="AT17" s="19">
        <v>7</v>
      </c>
      <c r="AU17" s="19">
        <v>15</v>
      </c>
      <c r="AV17" s="19">
        <v>8</v>
      </c>
      <c r="AW17" s="19">
        <v>20</v>
      </c>
      <c r="AX17" s="19">
        <v>10</v>
      </c>
      <c r="AY17" s="19">
        <v>12</v>
      </c>
      <c r="AZ17" s="19">
        <v>12</v>
      </c>
      <c r="BA17" s="19">
        <v>10</v>
      </c>
      <c r="BB17" s="19"/>
      <c r="BC17" s="19"/>
      <c r="BD17" s="19">
        <v>12</v>
      </c>
      <c r="BE17" s="19">
        <v>5</v>
      </c>
      <c r="BF17" s="34"/>
    </row>
    <row r="18" spans="1:58" ht="47.25" x14ac:dyDescent="0.25">
      <c r="A18" s="29" t="s">
        <v>20</v>
      </c>
      <c r="B18" s="35" t="s">
        <v>21</v>
      </c>
      <c r="C18" s="34"/>
      <c r="D18" s="19">
        <v>8</v>
      </c>
      <c r="E18" s="19">
        <v>14</v>
      </c>
      <c r="F18" s="19">
        <v>7</v>
      </c>
      <c r="G18" s="19"/>
      <c r="H18" s="19"/>
      <c r="I18" s="19"/>
      <c r="J18" s="19">
        <v>2</v>
      </c>
      <c r="K18" s="19">
        <v>1</v>
      </c>
      <c r="L18" s="19"/>
      <c r="M18" s="19"/>
      <c r="N18" s="19"/>
      <c r="O18" s="19"/>
      <c r="P18" s="19">
        <v>1</v>
      </c>
      <c r="Q18" s="19"/>
      <c r="R18" s="19"/>
      <c r="S18" s="19"/>
      <c r="T18" s="19"/>
      <c r="U18" s="19"/>
      <c r="V18" s="19">
        <v>1</v>
      </c>
      <c r="W18" s="19"/>
      <c r="X18" s="19"/>
      <c r="Y18" s="19"/>
      <c r="Z18" s="19"/>
      <c r="AA18" s="19"/>
      <c r="AB18" s="19">
        <v>2</v>
      </c>
      <c r="AC18" s="19">
        <v>7</v>
      </c>
      <c r="AD18" s="19">
        <v>3</v>
      </c>
      <c r="AE18" s="19">
        <v>5</v>
      </c>
      <c r="AF18" s="19">
        <v>3</v>
      </c>
      <c r="AG18" s="19">
        <v>4</v>
      </c>
      <c r="AH18" s="19">
        <v>7</v>
      </c>
      <c r="AI18" s="19">
        <v>1</v>
      </c>
      <c r="AJ18" s="19">
        <v>1</v>
      </c>
      <c r="AK18" s="19">
        <v>1</v>
      </c>
      <c r="AL18" s="19"/>
      <c r="AM18" s="19"/>
      <c r="AN18" s="19"/>
      <c r="AO18" s="19">
        <v>3</v>
      </c>
      <c r="AP18" s="19">
        <v>3</v>
      </c>
      <c r="AQ18" s="19">
        <v>2</v>
      </c>
      <c r="AR18" s="19">
        <v>3</v>
      </c>
      <c r="AS18" s="19"/>
      <c r="AT18" s="19">
        <v>1</v>
      </c>
      <c r="AU18" s="19">
        <v>3</v>
      </c>
      <c r="AV18" s="19">
        <v>3</v>
      </c>
      <c r="AW18" s="19">
        <v>7</v>
      </c>
      <c r="AX18" s="19">
        <v>2</v>
      </c>
      <c r="AY18" s="19">
        <v>1</v>
      </c>
      <c r="AZ18" s="19">
        <v>5</v>
      </c>
      <c r="BA18" s="19">
        <v>5</v>
      </c>
      <c r="BB18" s="19"/>
      <c r="BC18" s="19"/>
      <c r="BD18" s="19">
        <v>0</v>
      </c>
      <c r="BE18" s="19">
        <v>0</v>
      </c>
      <c r="BF18" s="34"/>
    </row>
    <row r="19" spans="1:58" ht="31.5" x14ac:dyDescent="0.25">
      <c r="A19" s="29" t="s">
        <v>22</v>
      </c>
      <c r="B19" s="35" t="s">
        <v>23</v>
      </c>
      <c r="C19" s="34"/>
      <c r="D19" s="19">
        <v>3</v>
      </c>
      <c r="E19" s="19">
        <v>7</v>
      </c>
      <c r="F19" s="19">
        <v>3</v>
      </c>
      <c r="G19" s="19"/>
      <c r="H19" s="19"/>
      <c r="I19" s="19"/>
      <c r="J19" s="19">
        <v>1</v>
      </c>
      <c r="K19" s="19">
        <v>0</v>
      </c>
      <c r="L19" s="19"/>
      <c r="M19" s="19"/>
      <c r="N19" s="19"/>
      <c r="O19" s="19"/>
      <c r="P19" s="19">
        <v>0</v>
      </c>
      <c r="Q19" s="19"/>
      <c r="R19" s="19"/>
      <c r="S19" s="19"/>
      <c r="T19" s="19"/>
      <c r="U19" s="19"/>
      <c r="V19" s="19">
        <v>2</v>
      </c>
      <c r="W19" s="19"/>
      <c r="X19" s="19"/>
      <c r="Y19" s="19"/>
      <c r="Z19" s="19"/>
      <c r="AA19" s="19"/>
      <c r="AB19" s="19">
        <v>5</v>
      </c>
      <c r="AC19" s="19">
        <v>1</v>
      </c>
      <c r="AD19" s="19">
        <v>2</v>
      </c>
      <c r="AE19" s="19">
        <v>1</v>
      </c>
      <c r="AF19" s="19">
        <v>1</v>
      </c>
      <c r="AG19" s="19">
        <v>1</v>
      </c>
      <c r="AH19" s="19">
        <v>1</v>
      </c>
      <c r="AI19" s="19">
        <v>2</v>
      </c>
      <c r="AJ19" s="19">
        <v>3</v>
      </c>
      <c r="AK19" s="19">
        <v>3</v>
      </c>
      <c r="AL19" s="19"/>
      <c r="AM19" s="19"/>
      <c r="AN19" s="19"/>
      <c r="AO19" s="19">
        <v>2</v>
      </c>
      <c r="AP19" s="19">
        <v>1</v>
      </c>
      <c r="AQ19" s="19">
        <v>2</v>
      </c>
      <c r="AR19" s="19">
        <v>2</v>
      </c>
      <c r="AS19" s="19"/>
      <c r="AT19" s="19">
        <v>5</v>
      </c>
      <c r="AU19" s="19">
        <v>4</v>
      </c>
      <c r="AV19" s="19">
        <v>1</v>
      </c>
      <c r="AW19" s="19">
        <v>10</v>
      </c>
      <c r="AX19" s="19">
        <v>2</v>
      </c>
      <c r="AY19" s="19">
        <v>3</v>
      </c>
      <c r="AZ19" s="19">
        <v>4</v>
      </c>
      <c r="BA19" s="19">
        <v>3</v>
      </c>
      <c r="BB19" s="19"/>
      <c r="BC19" s="19"/>
      <c r="BD19" s="19">
        <v>1</v>
      </c>
      <c r="BE19" s="19">
        <v>1</v>
      </c>
      <c r="BF19" s="34"/>
    </row>
    <row r="20" spans="1:58" s="47" customFormat="1" x14ac:dyDescent="0.25">
      <c r="A20" s="52" t="s">
        <v>24</v>
      </c>
      <c r="B20" s="5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63" x14ac:dyDescent="0.25">
      <c r="A21" s="2" t="s">
        <v>25</v>
      </c>
      <c r="B21" s="35" t="s">
        <v>26</v>
      </c>
      <c r="C21" s="34"/>
      <c r="D21" s="40">
        <v>1</v>
      </c>
      <c r="E21" s="40">
        <v>1</v>
      </c>
      <c r="F21" s="40">
        <v>1</v>
      </c>
      <c r="G21" s="19"/>
      <c r="H21" s="19"/>
      <c r="I21" s="19"/>
      <c r="J21" s="37">
        <f>48/51</f>
        <v>0.94117647058823528</v>
      </c>
      <c r="K21" s="40">
        <v>1</v>
      </c>
      <c r="L21" s="19"/>
      <c r="M21" s="19"/>
      <c r="N21" s="19"/>
      <c r="O21" s="19"/>
      <c r="P21" s="37">
        <v>1</v>
      </c>
      <c r="Q21" s="19"/>
      <c r="R21" s="19"/>
      <c r="S21" s="19"/>
      <c r="T21" s="19"/>
      <c r="U21" s="19"/>
      <c r="V21" s="37">
        <v>1</v>
      </c>
      <c r="W21" s="19"/>
      <c r="X21" s="19"/>
      <c r="Y21" s="19"/>
      <c r="Z21" s="19"/>
      <c r="AA21" s="19"/>
      <c r="AB21" s="40">
        <v>1</v>
      </c>
      <c r="AC21" s="37">
        <f>44/50</f>
        <v>0.88</v>
      </c>
      <c r="AD21" s="37">
        <f>96/100</f>
        <v>0.96</v>
      </c>
      <c r="AE21" s="40">
        <v>1</v>
      </c>
      <c r="AF21" s="37">
        <f>33/34</f>
        <v>0.97058823529411764</v>
      </c>
      <c r="AG21" s="37">
        <v>1</v>
      </c>
      <c r="AH21" s="37">
        <v>1</v>
      </c>
      <c r="AI21" s="37">
        <f>193/198</f>
        <v>0.9747474747474747</v>
      </c>
      <c r="AJ21" s="40">
        <v>0.96</v>
      </c>
      <c r="AK21" s="37">
        <v>1</v>
      </c>
      <c r="AL21" s="19"/>
      <c r="AM21" s="19"/>
      <c r="AN21" s="19"/>
      <c r="AO21" s="37">
        <f>97/100</f>
        <v>0.97</v>
      </c>
      <c r="AP21" s="37">
        <f>52/54</f>
        <v>0.96296296296296291</v>
      </c>
      <c r="AQ21" s="40">
        <f>96/100</f>
        <v>0.96</v>
      </c>
      <c r="AR21" s="37">
        <f>49/50</f>
        <v>0.98</v>
      </c>
      <c r="AS21" s="19"/>
      <c r="AT21" s="37">
        <f>49/50</f>
        <v>0.98</v>
      </c>
      <c r="AU21" s="40">
        <f>71/79</f>
        <v>0.89873417721518989</v>
      </c>
      <c r="AV21" s="40">
        <v>0.98</v>
      </c>
      <c r="AW21" s="40">
        <v>0.96</v>
      </c>
      <c r="AX21" s="37">
        <f>56/61</f>
        <v>0.91803278688524592</v>
      </c>
      <c r="AY21" s="40">
        <f>96/100</f>
        <v>0.96</v>
      </c>
      <c r="AZ21" s="40">
        <f>49/50</f>
        <v>0.98</v>
      </c>
      <c r="BA21" s="49">
        <f>31/54</f>
        <v>0.57407407407407407</v>
      </c>
      <c r="BB21" s="19"/>
      <c r="BC21" s="19"/>
      <c r="BD21" s="40">
        <v>0.98</v>
      </c>
      <c r="BE21" s="37">
        <v>1</v>
      </c>
      <c r="BF21" s="34"/>
    </row>
    <row r="22" spans="1:58" ht="47.25" x14ac:dyDescent="0.25">
      <c r="A22" s="29" t="s">
        <v>27</v>
      </c>
      <c r="B22" s="35" t="s">
        <v>28</v>
      </c>
      <c r="C22" s="34"/>
      <c r="D22" s="40">
        <v>1</v>
      </c>
      <c r="E22" s="40">
        <v>1</v>
      </c>
      <c r="F22" s="40">
        <v>1</v>
      </c>
      <c r="G22" s="19"/>
      <c r="H22" s="19"/>
      <c r="I22" s="19"/>
      <c r="J22" s="37">
        <f>48/51</f>
        <v>0.94117647058823528</v>
      </c>
      <c r="K22" s="40">
        <v>1</v>
      </c>
      <c r="L22" s="19"/>
      <c r="M22" s="19"/>
      <c r="N22" s="19"/>
      <c r="O22" s="19"/>
      <c r="P22" s="37">
        <v>1</v>
      </c>
      <c r="Q22" s="19"/>
      <c r="R22" s="19"/>
      <c r="S22" s="19"/>
      <c r="T22" s="19"/>
      <c r="U22" s="19"/>
      <c r="V22" s="37">
        <v>1</v>
      </c>
      <c r="W22" s="19"/>
      <c r="X22" s="19"/>
      <c r="Y22" s="19"/>
      <c r="Z22" s="19"/>
      <c r="AA22" s="19"/>
      <c r="AB22" s="40">
        <v>1</v>
      </c>
      <c r="AC22" s="37">
        <f>43/50</f>
        <v>0.86</v>
      </c>
      <c r="AD22" s="37">
        <f>96/100</f>
        <v>0.96</v>
      </c>
      <c r="AE22" s="40">
        <v>1</v>
      </c>
      <c r="AF22" s="37">
        <f>33/34</f>
        <v>0.97058823529411764</v>
      </c>
      <c r="AG22" s="37">
        <v>1</v>
      </c>
      <c r="AH22" s="37">
        <v>1</v>
      </c>
      <c r="AI22" s="37">
        <f>192/198</f>
        <v>0.96969696969696972</v>
      </c>
      <c r="AJ22" s="40">
        <v>0.98</v>
      </c>
      <c r="AK22" s="37">
        <v>1</v>
      </c>
      <c r="AL22" s="19"/>
      <c r="AM22" s="19"/>
      <c r="AN22" s="19"/>
      <c r="AO22" s="37">
        <f>96/100</f>
        <v>0.96</v>
      </c>
      <c r="AP22" s="37">
        <f>52/54</f>
        <v>0.96296296296296291</v>
      </c>
      <c r="AQ22" s="40">
        <f>94/100</f>
        <v>0.94</v>
      </c>
      <c r="AR22" s="37">
        <f>49/50</f>
        <v>0.98</v>
      </c>
      <c r="AS22" s="19"/>
      <c r="AT22" s="37">
        <f>49/50</f>
        <v>0.98</v>
      </c>
      <c r="AU22" s="40">
        <f>70/79</f>
        <v>0.88607594936708856</v>
      </c>
      <c r="AV22" s="40">
        <v>0.98</v>
      </c>
      <c r="AW22" s="40">
        <v>0.94</v>
      </c>
      <c r="AX22" s="37">
        <f>56/61</f>
        <v>0.91803278688524592</v>
      </c>
      <c r="AY22" s="40">
        <f>96/100</f>
        <v>0.96</v>
      </c>
      <c r="AZ22" s="40">
        <f>49/50</f>
        <v>0.98</v>
      </c>
      <c r="BA22" s="49">
        <f>31/54</f>
        <v>0.57407407407407407</v>
      </c>
      <c r="BB22" s="19"/>
      <c r="BC22" s="19"/>
      <c r="BD22" s="40">
        <v>1</v>
      </c>
      <c r="BE22" s="37">
        <v>1</v>
      </c>
      <c r="BF22" s="34"/>
    </row>
    <row r="23" spans="1:58" s="47" customFormat="1" x14ac:dyDescent="0.25">
      <c r="A23" s="52" t="s">
        <v>29</v>
      </c>
      <c r="B23" s="5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2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31.5" x14ac:dyDescent="0.25">
      <c r="A24" s="29" t="s">
        <v>30</v>
      </c>
      <c r="B24" s="35" t="s">
        <v>31</v>
      </c>
      <c r="C24" s="34"/>
      <c r="D24" s="40">
        <v>1</v>
      </c>
      <c r="E24" s="40">
        <f>98/99</f>
        <v>0.98989898989898994</v>
      </c>
      <c r="F24" s="40">
        <v>1</v>
      </c>
      <c r="G24" s="19"/>
      <c r="H24" s="19"/>
      <c r="I24" s="19"/>
      <c r="J24" s="37">
        <f>48/51</f>
        <v>0.94117647058823528</v>
      </c>
      <c r="K24" s="40">
        <v>1</v>
      </c>
      <c r="L24" s="19"/>
      <c r="M24" s="19"/>
      <c r="N24" s="19"/>
      <c r="O24" s="19"/>
      <c r="P24" s="37">
        <f>49/50</f>
        <v>0.98</v>
      </c>
      <c r="Q24" s="19"/>
      <c r="R24" s="19"/>
      <c r="S24" s="19"/>
      <c r="T24" s="19"/>
      <c r="U24" s="19"/>
      <c r="V24" s="37">
        <v>1</v>
      </c>
      <c r="W24" s="19"/>
      <c r="X24" s="19"/>
      <c r="Y24" s="19"/>
      <c r="Z24" s="19"/>
      <c r="AA24" s="19"/>
      <c r="AB24" s="40">
        <v>0.98</v>
      </c>
      <c r="AC24" s="37">
        <f>41/50</f>
        <v>0.82</v>
      </c>
      <c r="AD24" s="37">
        <f>91/100</f>
        <v>0.91</v>
      </c>
      <c r="AE24" s="40">
        <v>1</v>
      </c>
      <c r="AF24" s="37">
        <f>31/34</f>
        <v>0.91176470588235292</v>
      </c>
      <c r="AG24" s="37">
        <v>1</v>
      </c>
      <c r="AH24" s="37">
        <v>1</v>
      </c>
      <c r="AI24" s="37">
        <v>1</v>
      </c>
      <c r="AJ24" s="40">
        <v>1</v>
      </c>
      <c r="AK24" s="37">
        <v>1</v>
      </c>
      <c r="AL24" s="19"/>
      <c r="AM24" s="19"/>
      <c r="AN24" s="19"/>
      <c r="AO24" s="37">
        <f>89/100</f>
        <v>0.89</v>
      </c>
      <c r="AP24" s="37">
        <f>49/54</f>
        <v>0.90740740740740744</v>
      </c>
      <c r="AQ24" s="40">
        <f>94/100</f>
        <v>0.94</v>
      </c>
      <c r="AR24" s="37">
        <f>43/50</f>
        <v>0.86</v>
      </c>
      <c r="AS24" s="19"/>
      <c r="AT24" s="37">
        <v>1</v>
      </c>
      <c r="AU24" s="40">
        <f>72/79</f>
        <v>0.91139240506329111</v>
      </c>
      <c r="AV24" s="40">
        <v>1</v>
      </c>
      <c r="AW24" s="40">
        <v>0.98</v>
      </c>
      <c r="AX24" s="37">
        <f>55/61</f>
        <v>0.90163934426229508</v>
      </c>
      <c r="AY24" s="40">
        <f>95/100</f>
        <v>0.95</v>
      </c>
      <c r="AZ24" s="50">
        <f>39/50</f>
        <v>0.78</v>
      </c>
      <c r="BA24" s="49">
        <f>42/54</f>
        <v>0.77777777777777779</v>
      </c>
      <c r="BB24" s="19"/>
      <c r="BC24" s="19"/>
      <c r="BD24" s="40">
        <v>1</v>
      </c>
      <c r="BE24" s="37">
        <v>1</v>
      </c>
      <c r="BF24" s="34"/>
    </row>
    <row r="25" spans="1:58" ht="31.5" x14ac:dyDescent="0.25">
      <c r="A25" s="29" t="s">
        <v>32</v>
      </c>
      <c r="B25" s="35" t="s">
        <v>33</v>
      </c>
      <c r="C25" s="34"/>
      <c r="D25" s="40">
        <v>1</v>
      </c>
      <c r="E25" s="40">
        <v>1</v>
      </c>
      <c r="F25" s="40">
        <v>1</v>
      </c>
      <c r="G25" s="19"/>
      <c r="H25" s="19"/>
      <c r="I25" s="19"/>
      <c r="J25" s="37">
        <v>1</v>
      </c>
      <c r="K25" s="40">
        <v>1</v>
      </c>
      <c r="L25" s="19"/>
      <c r="M25" s="19"/>
      <c r="N25" s="19"/>
      <c r="O25" s="19"/>
      <c r="P25" s="37">
        <v>1</v>
      </c>
      <c r="Q25" s="19"/>
      <c r="R25" s="19"/>
      <c r="S25" s="19"/>
      <c r="T25" s="19"/>
      <c r="U25" s="19"/>
      <c r="V25" s="37">
        <v>1</v>
      </c>
      <c r="W25" s="19"/>
      <c r="X25" s="19"/>
      <c r="Y25" s="19"/>
      <c r="Z25" s="19"/>
      <c r="AA25" s="19"/>
      <c r="AB25" s="40">
        <v>1</v>
      </c>
      <c r="AC25" s="40">
        <v>1</v>
      </c>
      <c r="AD25" s="37">
        <f>99/100</f>
        <v>0.99</v>
      </c>
      <c r="AE25" s="40">
        <v>1</v>
      </c>
      <c r="AF25" s="37">
        <v>1</v>
      </c>
      <c r="AG25" s="37">
        <v>1</v>
      </c>
      <c r="AH25" s="37">
        <v>1</v>
      </c>
      <c r="AI25" s="37">
        <v>1</v>
      </c>
      <c r="AJ25" s="40">
        <v>1</v>
      </c>
      <c r="AK25" s="37">
        <v>1</v>
      </c>
      <c r="AL25" s="19"/>
      <c r="AM25" s="19"/>
      <c r="AN25" s="19"/>
      <c r="AO25" s="37">
        <v>1</v>
      </c>
      <c r="AP25" s="37">
        <f>52/54</f>
        <v>0.96296296296296291</v>
      </c>
      <c r="AQ25" s="44">
        <v>0.95</v>
      </c>
      <c r="AR25" s="37">
        <v>1</v>
      </c>
      <c r="AS25" s="19"/>
      <c r="AT25" s="37">
        <v>1</v>
      </c>
      <c r="AU25" s="40">
        <v>1</v>
      </c>
      <c r="AV25" s="40">
        <v>1</v>
      </c>
      <c r="AW25" s="40">
        <v>1</v>
      </c>
      <c r="AX25" s="37">
        <v>1</v>
      </c>
      <c r="AY25" s="40">
        <v>1</v>
      </c>
      <c r="AZ25" s="40">
        <v>1</v>
      </c>
      <c r="BA25" s="37">
        <f>51/54</f>
        <v>0.94444444444444442</v>
      </c>
      <c r="BB25" s="19"/>
      <c r="BC25" s="19"/>
      <c r="BD25" s="40">
        <v>1</v>
      </c>
      <c r="BE25" s="37">
        <v>1</v>
      </c>
      <c r="BF25" s="34"/>
    </row>
    <row r="26" spans="1:58" ht="31.5" x14ac:dyDescent="0.25">
      <c r="A26" s="29" t="s">
        <v>34</v>
      </c>
      <c r="B26" s="35" t="s">
        <v>35</v>
      </c>
      <c r="C26" s="34"/>
      <c r="D26" s="40">
        <v>1</v>
      </c>
      <c r="E26" s="40">
        <f>95/99</f>
        <v>0.95959595959595956</v>
      </c>
      <c r="F26" s="40">
        <v>1</v>
      </c>
      <c r="G26" s="19"/>
      <c r="H26" s="19"/>
      <c r="I26" s="19"/>
      <c r="J26" s="37">
        <f>48/51</f>
        <v>0.94117647058823528</v>
      </c>
      <c r="K26" s="40">
        <v>1</v>
      </c>
      <c r="L26" s="19"/>
      <c r="M26" s="19"/>
      <c r="N26" s="19"/>
      <c r="O26" s="19"/>
      <c r="P26" s="37">
        <v>1</v>
      </c>
      <c r="Q26" s="19"/>
      <c r="R26" s="19"/>
      <c r="S26" s="19"/>
      <c r="T26" s="19"/>
      <c r="U26" s="19"/>
      <c r="V26" s="37">
        <v>0.98</v>
      </c>
      <c r="W26" s="19"/>
      <c r="X26" s="19"/>
      <c r="Y26" s="19"/>
      <c r="Z26" s="19"/>
      <c r="AA26" s="19"/>
      <c r="AB26" s="40">
        <v>0.98</v>
      </c>
      <c r="AC26" s="37">
        <f>47/50</f>
        <v>0.94</v>
      </c>
      <c r="AD26" s="37">
        <f>94/100</f>
        <v>0.94</v>
      </c>
      <c r="AE26" s="40">
        <v>1</v>
      </c>
      <c r="AF26" s="37">
        <f>32/34</f>
        <v>0.94117647058823528</v>
      </c>
      <c r="AG26" s="37">
        <v>1</v>
      </c>
      <c r="AH26" s="37">
        <v>1</v>
      </c>
      <c r="AI26" s="37">
        <v>1</v>
      </c>
      <c r="AJ26" s="40">
        <v>1</v>
      </c>
      <c r="AK26" s="37">
        <v>1</v>
      </c>
      <c r="AL26" s="19"/>
      <c r="AM26" s="19"/>
      <c r="AN26" s="19"/>
      <c r="AO26" s="37">
        <v>1</v>
      </c>
      <c r="AP26" s="37">
        <f>53/54</f>
        <v>0.98148148148148151</v>
      </c>
      <c r="AQ26" s="40">
        <f>50/52</f>
        <v>0.96153846153846156</v>
      </c>
      <c r="AR26" s="37">
        <f>48/50</f>
        <v>0.96</v>
      </c>
      <c r="AS26" s="19"/>
      <c r="AT26" s="37">
        <f>48/50</f>
        <v>0.96</v>
      </c>
      <c r="AU26" s="40">
        <f>69/79</f>
        <v>0.87341772151898733</v>
      </c>
      <c r="AV26" s="40">
        <v>1</v>
      </c>
      <c r="AW26" s="40">
        <v>0.98</v>
      </c>
      <c r="AX26" s="37">
        <f>60/61</f>
        <v>0.98360655737704916</v>
      </c>
      <c r="AY26" s="40">
        <v>1</v>
      </c>
      <c r="AZ26" s="40">
        <v>1</v>
      </c>
      <c r="BA26" s="49">
        <f>36/54</f>
        <v>0.66666666666666663</v>
      </c>
      <c r="BB26" s="19"/>
      <c r="BC26" s="19"/>
      <c r="BD26" s="40">
        <v>1</v>
      </c>
      <c r="BE26" s="37">
        <v>1</v>
      </c>
      <c r="BF26" s="34"/>
    </row>
    <row r="27" spans="1:58" ht="47.25" x14ac:dyDescent="0.25">
      <c r="A27" s="29" t="s">
        <v>36</v>
      </c>
      <c r="B27" s="35" t="s">
        <v>37</v>
      </c>
      <c r="C27" s="34"/>
      <c r="D27" s="40">
        <v>1</v>
      </c>
      <c r="E27" s="40">
        <f>97/99</f>
        <v>0.97979797979797978</v>
      </c>
      <c r="F27" s="40">
        <v>1</v>
      </c>
      <c r="G27" s="19"/>
      <c r="H27" s="19"/>
      <c r="I27" s="19"/>
      <c r="J27" s="37">
        <f>45/51</f>
        <v>0.88235294117647056</v>
      </c>
      <c r="K27" s="40">
        <v>1</v>
      </c>
      <c r="L27" s="19"/>
      <c r="M27" s="19"/>
      <c r="N27" s="19"/>
      <c r="O27" s="19"/>
      <c r="P27" s="37">
        <v>0.96</v>
      </c>
      <c r="Q27" s="19"/>
      <c r="R27" s="19"/>
      <c r="S27" s="19"/>
      <c r="T27" s="19"/>
      <c r="U27" s="19"/>
      <c r="V27" s="37">
        <v>1</v>
      </c>
      <c r="W27" s="19"/>
      <c r="X27" s="19"/>
      <c r="Y27" s="19"/>
      <c r="Z27" s="19"/>
      <c r="AA27" s="19"/>
      <c r="AB27" s="40">
        <v>0.94</v>
      </c>
      <c r="AC27" s="37">
        <f>45/50</f>
        <v>0.9</v>
      </c>
      <c r="AD27" s="37">
        <f>97/100</f>
        <v>0.97</v>
      </c>
      <c r="AE27" s="40">
        <v>1</v>
      </c>
      <c r="AF27" s="37">
        <v>1</v>
      </c>
      <c r="AG27" s="37">
        <v>1</v>
      </c>
      <c r="AH27" s="37">
        <v>1</v>
      </c>
      <c r="AI27" s="37">
        <v>1</v>
      </c>
      <c r="AJ27" s="40">
        <v>1</v>
      </c>
      <c r="AK27" s="37">
        <v>1</v>
      </c>
      <c r="AL27" s="19"/>
      <c r="AM27" s="19"/>
      <c r="AN27" s="19"/>
      <c r="AO27" s="37">
        <v>1</v>
      </c>
      <c r="AP27" s="37">
        <f>53/54</f>
        <v>0.98148148148148151</v>
      </c>
      <c r="AQ27" s="40">
        <f>98/100</f>
        <v>0.98</v>
      </c>
      <c r="AR27" s="37">
        <v>1</v>
      </c>
      <c r="AS27" s="19"/>
      <c r="AT27" s="37">
        <v>1</v>
      </c>
      <c r="AU27" s="40">
        <f>73/79</f>
        <v>0.92405063291139244</v>
      </c>
      <c r="AV27" s="40">
        <v>0.98</v>
      </c>
      <c r="AW27" s="40">
        <v>0.98</v>
      </c>
      <c r="AX27" s="37">
        <f>59/61</f>
        <v>0.96721311475409832</v>
      </c>
      <c r="AY27" s="40">
        <v>1</v>
      </c>
      <c r="AZ27" s="40">
        <v>1</v>
      </c>
      <c r="BA27" s="49">
        <f>34/54</f>
        <v>0.62962962962962965</v>
      </c>
      <c r="BB27" s="19"/>
      <c r="BC27" s="19"/>
      <c r="BD27" s="40">
        <v>1</v>
      </c>
      <c r="BE27" s="37">
        <v>1</v>
      </c>
      <c r="BF27" s="34"/>
    </row>
    <row r="28" spans="1:58" x14ac:dyDescent="0.25">
      <c r="A28" s="29"/>
      <c r="B28" s="35"/>
      <c r="C28" s="34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34"/>
    </row>
    <row r="29" spans="1:58" s="46" customFormat="1" ht="18.75" x14ac:dyDescent="0.25">
      <c r="A29" s="55" t="s">
        <v>76</v>
      </c>
      <c r="B29" s="5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</row>
    <row r="30" spans="1:58" x14ac:dyDescent="0.25">
      <c r="A30" s="56" t="s">
        <v>77</v>
      </c>
      <c r="B30" s="56"/>
      <c r="C30" s="34">
        <f>SUM(D30:BF30)</f>
        <v>2950</v>
      </c>
      <c r="D30" s="19">
        <v>100</v>
      </c>
      <c r="E30" s="19">
        <v>111</v>
      </c>
      <c r="F30" s="19">
        <v>142</v>
      </c>
      <c r="G30" s="19"/>
      <c r="H30" s="19"/>
      <c r="I30" s="19"/>
      <c r="J30" s="19"/>
      <c r="K30" s="19">
        <v>91</v>
      </c>
      <c r="L30" s="19">
        <v>105</v>
      </c>
      <c r="M30" s="19">
        <v>50</v>
      </c>
      <c r="N30" s="19">
        <v>100</v>
      </c>
      <c r="O30" s="19">
        <v>50</v>
      </c>
      <c r="P30" s="19">
        <v>27</v>
      </c>
      <c r="Q30" s="19">
        <v>94</v>
      </c>
      <c r="R30" s="19">
        <v>56</v>
      </c>
      <c r="S30" s="19"/>
      <c r="T30" s="19">
        <v>82</v>
      </c>
      <c r="U30" s="19"/>
      <c r="V30" s="19">
        <v>100</v>
      </c>
      <c r="W30" s="19"/>
      <c r="X30" s="19"/>
      <c r="Y30" s="19"/>
      <c r="Z30" s="19"/>
      <c r="AA30" s="19"/>
      <c r="AB30" s="19">
        <v>50</v>
      </c>
      <c r="AC30" s="19">
        <v>50</v>
      </c>
      <c r="AD30" s="19">
        <v>105</v>
      </c>
      <c r="AE30" s="19">
        <v>100</v>
      </c>
      <c r="AF30" s="19">
        <v>250</v>
      </c>
      <c r="AG30" s="19"/>
      <c r="AH30" s="19">
        <v>79</v>
      </c>
      <c r="AI30" s="19"/>
      <c r="AJ30" s="19">
        <v>100</v>
      </c>
      <c r="AK30" s="19">
        <v>41</v>
      </c>
      <c r="AL30" s="19"/>
      <c r="AM30" s="19"/>
      <c r="AN30" s="19"/>
      <c r="AO30" s="19">
        <v>100</v>
      </c>
      <c r="AP30" s="19">
        <v>52</v>
      </c>
      <c r="AQ30" s="19">
        <v>102</v>
      </c>
      <c r="AR30" s="19">
        <v>50</v>
      </c>
      <c r="AS30" s="19"/>
      <c r="AT30" s="19">
        <v>50</v>
      </c>
      <c r="AU30" s="19">
        <v>98</v>
      </c>
      <c r="AV30" s="19">
        <v>350</v>
      </c>
      <c r="AW30" s="19">
        <v>47</v>
      </c>
      <c r="AX30" s="19">
        <v>44</v>
      </c>
      <c r="AY30" s="19">
        <v>100</v>
      </c>
      <c r="AZ30" s="19">
        <v>50</v>
      </c>
      <c r="BA30" s="19">
        <v>24</v>
      </c>
      <c r="BB30" s="19"/>
      <c r="BC30" s="19"/>
      <c r="BD30" s="19"/>
      <c r="BE30" s="19"/>
      <c r="BF30" s="34"/>
    </row>
    <row r="31" spans="1:58" ht="94.5" x14ac:dyDescent="0.25">
      <c r="A31" s="35" t="s">
        <v>0</v>
      </c>
      <c r="B31" s="35" t="s">
        <v>1</v>
      </c>
      <c r="C31" s="34"/>
      <c r="D31" s="36">
        <f>(SUM(D37:D40,D46:D47,D49:D56)+IF(D34=5,100%,0%)+IF(D35=5,100%,0%)+(100%-D44))/16</f>
        <v>1</v>
      </c>
      <c r="E31" s="36">
        <f t="shared" ref="E31:BA31" si="19">(SUM(E37:E40,E46:E47,E49:E56)+IF(E34=5,100%,0%)+IF(E35=5,100%,0%)+(100%-E44))/16</f>
        <v>0.80461711711711714</v>
      </c>
      <c r="F31" s="36">
        <f t="shared" si="19"/>
        <v>0.99647887323943662</v>
      </c>
      <c r="G31" s="36"/>
      <c r="H31" s="36"/>
      <c r="I31" s="36"/>
      <c r="J31" s="36"/>
      <c r="K31" s="36">
        <f t="shared" si="19"/>
        <v>1</v>
      </c>
      <c r="L31" s="36">
        <f t="shared" si="19"/>
        <v>0.99285714285714288</v>
      </c>
      <c r="M31" s="36">
        <f t="shared" si="19"/>
        <v>0.99</v>
      </c>
      <c r="N31" s="36">
        <f t="shared" si="19"/>
        <v>0.79625000000000001</v>
      </c>
      <c r="O31" s="36">
        <f t="shared" si="19"/>
        <v>0.80125000000000002</v>
      </c>
      <c r="P31" s="36">
        <f t="shared" si="19"/>
        <v>0.95000000000000007</v>
      </c>
      <c r="Q31" s="36">
        <f t="shared" si="19"/>
        <v>0.9893617021276595</v>
      </c>
      <c r="R31" s="36">
        <f t="shared" si="19"/>
        <v>0.7790178571428571</v>
      </c>
      <c r="S31" s="36"/>
      <c r="T31" s="36">
        <f t="shared" si="19"/>
        <v>0.80640243902439024</v>
      </c>
      <c r="U31" s="36"/>
      <c r="V31" s="36">
        <f t="shared" ref="V31" si="20">(SUM(V37:V40,V46:V47,V49:V56)+IF(V34=5,100%,0%)+IF(V35=5,100%,0%)+(100%-V44))/16</f>
        <v>0.80625000000000002</v>
      </c>
      <c r="W31" s="36"/>
      <c r="X31" s="36"/>
      <c r="Y31" s="36"/>
      <c r="Z31" s="36"/>
      <c r="AA31" s="36"/>
      <c r="AB31" s="36">
        <f t="shared" ref="AB31" si="21">(SUM(AB37:AB40,AB46:AB47,AB49:AB56)+IF(AB34=5,100%,0%)+IF(AB35=5,100%,0%)+(100%-AB44))/16</f>
        <v>0.97499999999999998</v>
      </c>
      <c r="AC31" s="36">
        <f t="shared" si="19"/>
        <v>0.97499999999999998</v>
      </c>
      <c r="AD31" s="36">
        <f t="shared" si="19"/>
        <v>0.9827380952380953</v>
      </c>
      <c r="AE31" s="36">
        <f t="shared" si="19"/>
        <v>0.995</v>
      </c>
      <c r="AF31" s="36">
        <f t="shared" si="19"/>
        <v>0.96672466960352432</v>
      </c>
      <c r="AG31" s="36"/>
      <c r="AH31" s="36">
        <f t="shared" si="19"/>
        <v>0.99575158227848104</v>
      </c>
      <c r="AI31" s="36"/>
      <c r="AJ31" s="36">
        <f t="shared" si="19"/>
        <v>0.99562499999999998</v>
      </c>
      <c r="AK31" s="36">
        <f t="shared" si="19"/>
        <v>0.99466772151898741</v>
      </c>
      <c r="AL31" s="36"/>
      <c r="AM31" s="36"/>
      <c r="AN31" s="36"/>
      <c r="AO31" s="36">
        <f t="shared" si="19"/>
        <v>0.99437500000000001</v>
      </c>
      <c r="AP31" s="36">
        <f t="shared" ref="AP31:AQ31" si="22">(SUM(AP37:AP40,AP46:AP47,AP49:AP56)+IF(AP34=5,100%,0%)+IF(AP35=5,100%,0%)+(100%-AP44))/16</f>
        <v>1</v>
      </c>
      <c r="AQ31" s="36">
        <f t="shared" si="22"/>
        <v>0.97500000000000009</v>
      </c>
      <c r="AR31" s="36">
        <f t="shared" si="19"/>
        <v>0.99124999999999996</v>
      </c>
      <c r="AS31" s="36"/>
      <c r="AT31" s="36">
        <f t="shared" ref="AT31:AV31" si="23">(SUM(AT37:AT40,AT46:AT47,AT49:AT56)+IF(AT34=5,100%,0%)+IF(AT35=5,100%,0%)+(100%-AT44))/16</f>
        <v>0.97875000000000001</v>
      </c>
      <c r="AU31" s="36">
        <f t="shared" si="23"/>
        <v>0.98602736549165126</v>
      </c>
      <c r="AV31" s="36">
        <f t="shared" si="23"/>
        <v>0.98812500000000003</v>
      </c>
      <c r="AW31" s="36">
        <f t="shared" si="19"/>
        <v>0.79562500000000003</v>
      </c>
      <c r="AX31" s="36">
        <f t="shared" si="19"/>
        <v>0.96590909090909094</v>
      </c>
      <c r="AY31" s="36">
        <f t="shared" si="19"/>
        <v>0.98312500000000003</v>
      </c>
      <c r="AZ31" s="36">
        <f t="shared" si="19"/>
        <v>0.97374999999999989</v>
      </c>
      <c r="BA31" s="36">
        <f t="shared" si="19"/>
        <v>0.90364583333333326</v>
      </c>
      <c r="BB31" s="36"/>
      <c r="BC31" s="36"/>
      <c r="BD31" s="36"/>
      <c r="BE31" s="36"/>
      <c r="BF31" s="24"/>
    </row>
    <row r="32" spans="1:58" s="47" customFormat="1" x14ac:dyDescent="0.25">
      <c r="A32" s="52" t="s">
        <v>2</v>
      </c>
      <c r="B32" s="5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</row>
    <row r="33" spans="1:58" ht="31.5" x14ac:dyDescent="0.25">
      <c r="A33" s="28" t="s">
        <v>3</v>
      </c>
      <c r="B33" s="35" t="s">
        <v>45</v>
      </c>
      <c r="C33" s="34"/>
      <c r="D33" s="19">
        <v>0</v>
      </c>
      <c r="E33" s="19">
        <v>0</v>
      </c>
      <c r="F33" s="19">
        <v>0</v>
      </c>
      <c r="G33" s="19"/>
      <c r="H33" s="19"/>
      <c r="I33" s="19"/>
      <c r="J33" s="19"/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/>
      <c r="Q33" s="19"/>
      <c r="R33" s="19">
        <v>0</v>
      </c>
      <c r="S33" s="19"/>
      <c r="T33" s="19">
        <v>0</v>
      </c>
      <c r="U33" s="19"/>
      <c r="V33" s="19"/>
      <c r="W33" s="19"/>
      <c r="X33" s="19"/>
      <c r="Y33" s="19"/>
      <c r="Z33" s="19"/>
      <c r="AA33" s="19"/>
      <c r="AB33" s="19">
        <v>0</v>
      </c>
      <c r="AC33" s="19">
        <v>0</v>
      </c>
      <c r="AD33" s="19"/>
      <c r="AE33" s="19">
        <v>0</v>
      </c>
      <c r="AF33" s="19"/>
      <c r="AG33" s="19"/>
      <c r="AH33" s="19">
        <v>0</v>
      </c>
      <c r="AI33" s="19"/>
      <c r="AJ33" s="19">
        <v>0</v>
      </c>
      <c r="AK33" s="19">
        <v>0</v>
      </c>
      <c r="AL33" s="19"/>
      <c r="AM33" s="19"/>
      <c r="AN33" s="19"/>
      <c r="AO33" s="19">
        <v>0</v>
      </c>
      <c r="AP33" s="19"/>
      <c r="AQ33" s="19">
        <v>0</v>
      </c>
      <c r="AR33" s="19">
        <v>0</v>
      </c>
      <c r="AS33" s="19"/>
      <c r="AT33" s="19"/>
      <c r="AU33" s="19">
        <v>0</v>
      </c>
      <c r="AV33" s="19"/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/>
      <c r="BC33" s="19"/>
      <c r="BD33" s="19"/>
      <c r="BE33" s="19"/>
      <c r="BF33" s="34"/>
    </row>
    <row r="34" spans="1:58" ht="47.25" x14ac:dyDescent="0.25">
      <c r="A34" s="2" t="s">
        <v>46</v>
      </c>
      <c r="B34" s="35" t="s">
        <v>5</v>
      </c>
      <c r="C34" s="34"/>
      <c r="D34" s="19">
        <v>5</v>
      </c>
      <c r="E34" s="51">
        <v>0</v>
      </c>
      <c r="F34" s="19">
        <v>5</v>
      </c>
      <c r="G34" s="19"/>
      <c r="H34" s="19"/>
      <c r="I34" s="19"/>
      <c r="J34" s="19"/>
      <c r="K34" s="19">
        <v>5</v>
      </c>
      <c r="L34" s="19">
        <v>5</v>
      </c>
      <c r="M34" s="19">
        <v>5</v>
      </c>
      <c r="N34" s="51">
        <v>0</v>
      </c>
      <c r="O34" s="51">
        <v>0</v>
      </c>
      <c r="P34" s="19">
        <v>5</v>
      </c>
      <c r="Q34" s="19">
        <v>5</v>
      </c>
      <c r="R34" s="51">
        <v>0</v>
      </c>
      <c r="S34" s="51"/>
      <c r="T34" s="51">
        <v>0</v>
      </c>
      <c r="U34" s="51"/>
      <c r="V34" s="51">
        <v>0</v>
      </c>
      <c r="W34" s="19"/>
      <c r="X34" s="19"/>
      <c r="Y34" s="19"/>
      <c r="Z34" s="19"/>
      <c r="AA34" s="19"/>
      <c r="AB34" s="19">
        <v>5</v>
      </c>
      <c r="AC34" s="19">
        <v>5</v>
      </c>
      <c r="AD34" s="19">
        <v>5</v>
      </c>
      <c r="AE34" s="19">
        <v>5</v>
      </c>
      <c r="AF34" s="19">
        <v>5</v>
      </c>
      <c r="AG34" s="19"/>
      <c r="AH34" s="19">
        <v>5</v>
      </c>
      <c r="AI34" s="19"/>
      <c r="AJ34" s="19">
        <v>5</v>
      </c>
      <c r="AK34" s="19">
        <v>5</v>
      </c>
      <c r="AL34" s="19"/>
      <c r="AM34" s="19"/>
      <c r="AN34" s="19"/>
      <c r="AO34" s="19">
        <v>5</v>
      </c>
      <c r="AP34" s="19">
        <v>5</v>
      </c>
      <c r="AQ34" s="19">
        <v>5</v>
      </c>
      <c r="AR34" s="19">
        <v>5</v>
      </c>
      <c r="AS34" s="19"/>
      <c r="AT34" s="19">
        <v>5</v>
      </c>
      <c r="AU34" s="19">
        <v>5</v>
      </c>
      <c r="AV34" s="19">
        <v>5</v>
      </c>
      <c r="AW34" s="51">
        <v>0</v>
      </c>
      <c r="AX34" s="19">
        <v>5</v>
      </c>
      <c r="AY34" s="19">
        <v>5</v>
      </c>
      <c r="AZ34" s="19">
        <v>5</v>
      </c>
      <c r="BA34" s="19">
        <v>5</v>
      </c>
      <c r="BB34" s="19"/>
      <c r="BC34" s="19"/>
      <c r="BD34" s="19"/>
      <c r="BE34" s="19"/>
      <c r="BF34" s="34"/>
    </row>
    <row r="35" spans="1:58" ht="47.25" x14ac:dyDescent="0.25">
      <c r="A35" s="2" t="s">
        <v>6</v>
      </c>
      <c r="B35" s="35" t="s">
        <v>5</v>
      </c>
      <c r="C35" s="34"/>
      <c r="D35" s="19">
        <v>5</v>
      </c>
      <c r="E35" s="51">
        <v>0</v>
      </c>
      <c r="F35" s="19">
        <v>5</v>
      </c>
      <c r="G35" s="19"/>
      <c r="H35" s="19"/>
      <c r="I35" s="19"/>
      <c r="J35" s="19"/>
      <c r="K35" s="19">
        <v>5</v>
      </c>
      <c r="L35" s="19">
        <v>5</v>
      </c>
      <c r="M35" s="19">
        <v>5</v>
      </c>
      <c r="N35" s="51">
        <v>0</v>
      </c>
      <c r="O35" s="51">
        <v>0</v>
      </c>
      <c r="P35" s="19">
        <v>5</v>
      </c>
      <c r="Q35" s="19">
        <v>5</v>
      </c>
      <c r="R35" s="51">
        <v>0</v>
      </c>
      <c r="S35" s="51"/>
      <c r="T35" s="51">
        <v>0</v>
      </c>
      <c r="U35" s="51"/>
      <c r="V35" s="51">
        <v>0</v>
      </c>
      <c r="W35" s="19"/>
      <c r="X35" s="19"/>
      <c r="Y35" s="19"/>
      <c r="Z35" s="19"/>
      <c r="AA35" s="19"/>
      <c r="AB35" s="19">
        <v>5</v>
      </c>
      <c r="AC35" s="19">
        <v>5</v>
      </c>
      <c r="AD35" s="19">
        <v>5</v>
      </c>
      <c r="AE35" s="19">
        <v>5</v>
      </c>
      <c r="AF35" s="19">
        <v>5</v>
      </c>
      <c r="AG35" s="19"/>
      <c r="AH35" s="19">
        <v>5</v>
      </c>
      <c r="AI35" s="19"/>
      <c r="AJ35" s="19">
        <v>5</v>
      </c>
      <c r="AK35" s="19">
        <v>5</v>
      </c>
      <c r="AL35" s="19"/>
      <c r="AM35" s="19"/>
      <c r="AN35" s="19"/>
      <c r="AO35" s="19">
        <v>5</v>
      </c>
      <c r="AP35" s="19">
        <v>5</v>
      </c>
      <c r="AQ35" s="19">
        <v>5</v>
      </c>
      <c r="AR35" s="19">
        <v>5</v>
      </c>
      <c r="AS35" s="19"/>
      <c r="AT35" s="19">
        <v>5</v>
      </c>
      <c r="AU35" s="19">
        <v>5</v>
      </c>
      <c r="AV35" s="19">
        <v>5</v>
      </c>
      <c r="AW35" s="51">
        <v>0</v>
      </c>
      <c r="AX35" s="19">
        <v>5</v>
      </c>
      <c r="AY35" s="19">
        <v>5</v>
      </c>
      <c r="AZ35" s="19">
        <v>5</v>
      </c>
      <c r="BA35" s="19">
        <v>5</v>
      </c>
      <c r="BB35" s="19"/>
      <c r="BC35" s="19"/>
      <c r="BD35" s="19"/>
      <c r="BE35" s="19"/>
      <c r="BF35" s="34"/>
    </row>
    <row r="36" spans="1:58" ht="78.75" x14ac:dyDescent="0.25">
      <c r="A36" s="2" t="s">
        <v>7</v>
      </c>
      <c r="B36" s="35" t="s">
        <v>81</v>
      </c>
      <c r="C36" s="34"/>
      <c r="D36" s="40">
        <f>(SUM(D37:D40,D46:D56)+(100%-D44))/14</f>
        <v>1</v>
      </c>
      <c r="E36" s="40">
        <f>(SUM(E37:E40,E46:E56)+(100%-E44))/14</f>
        <v>0.91956241956241958</v>
      </c>
      <c r="F36" s="40">
        <f>(SUM(F37:F40,F46:F56)+(100%-F44))/14</f>
        <v>0.99597585513078468</v>
      </c>
      <c r="G36" s="40"/>
      <c r="H36" s="40"/>
      <c r="I36" s="40"/>
      <c r="J36" s="40"/>
      <c r="K36" s="40">
        <f t="shared" ref="K36:P36" si="24">(SUM(K37:K40,K46:K56)+(100%-K44))/14</f>
        <v>1</v>
      </c>
      <c r="L36" s="40">
        <f t="shared" si="24"/>
        <v>0.99183673469387756</v>
      </c>
      <c r="M36" s="40">
        <f t="shared" si="24"/>
        <v>0.98857142857142855</v>
      </c>
      <c r="N36" s="40">
        <f t="shared" si="24"/>
        <v>0.91</v>
      </c>
      <c r="O36" s="40">
        <f t="shared" si="24"/>
        <v>0.9157142857142857</v>
      </c>
      <c r="P36" s="40">
        <f t="shared" si="24"/>
        <v>0.94285714285714295</v>
      </c>
      <c r="Q36" s="40">
        <f>(SUM(Q37:Q40,Q46:Q56)+(100%-Q44))/14</f>
        <v>0.98784194528875369</v>
      </c>
      <c r="R36" s="40">
        <f>(SUM(R37:R40,R46:R56)+(100%-R44))/14</f>
        <v>0.89030612244897955</v>
      </c>
      <c r="S36" s="40"/>
      <c r="T36" s="40">
        <f>(SUM(T37:T40,T46:T56)+(100%-T44))/14</f>
        <v>0.92160278745644597</v>
      </c>
      <c r="U36" s="40"/>
      <c r="V36" s="40">
        <f t="shared" ref="V36" si="25">(SUM(V37:V40,V46:V56)+(100%-V44))/14</f>
        <v>0.92142857142857149</v>
      </c>
      <c r="W36" s="40"/>
      <c r="X36" s="40"/>
      <c r="Y36" s="40"/>
      <c r="Z36" s="40"/>
      <c r="AA36" s="40"/>
      <c r="AB36" s="40">
        <f t="shared" ref="AB36:AC36" si="26">(SUM(AB37:AB40,AB46:AB56)+(100%-AB44))/14</f>
        <v>0.97142857142857142</v>
      </c>
      <c r="AC36" s="40">
        <f t="shared" si="26"/>
        <v>0.97142857142857142</v>
      </c>
      <c r="AD36" s="40">
        <f t="shared" ref="AD36:AE36" si="27">(SUM(AD37:AD40,AD46:AD56)+(100%-AD44))/14</f>
        <v>0.98027210884353744</v>
      </c>
      <c r="AE36" s="40">
        <f t="shared" si="27"/>
        <v>0.99428571428571433</v>
      </c>
      <c r="AF36" s="40">
        <f t="shared" ref="AF36:AH36" si="28">(SUM(AF37:AF40,AF46:AF56)+(100%-AF44))/14</f>
        <v>0.96197105097545632</v>
      </c>
      <c r="AG36" s="40"/>
      <c r="AH36" s="40">
        <f t="shared" si="28"/>
        <v>0.99514466546112124</v>
      </c>
      <c r="AI36" s="40"/>
      <c r="AJ36" s="40">
        <f t="shared" ref="AJ36:AK36" si="29">(SUM(AJ37:AJ40,AJ46:AJ56)+(100%-AJ44))/14</f>
        <v>0.995</v>
      </c>
      <c r="AK36" s="40">
        <f t="shared" si="29"/>
        <v>0.99390596745027138</v>
      </c>
      <c r="AL36" s="40"/>
      <c r="AM36" s="40"/>
      <c r="AN36" s="40"/>
      <c r="AO36" s="40">
        <f t="shared" ref="AO36" si="30">(SUM(AO37:AO40,AO46:AO56)+(100%-AO44))/14</f>
        <v>0.99357142857142855</v>
      </c>
      <c r="AP36" s="40">
        <f t="shared" ref="AP36:AR36" si="31">(SUM(AP37:AP40,AP46:AP56)+(100%-AP44))/14</f>
        <v>1</v>
      </c>
      <c r="AQ36" s="40">
        <f t="shared" si="31"/>
        <v>0.97142857142857153</v>
      </c>
      <c r="AR36" s="40">
        <f t="shared" si="31"/>
        <v>0.99</v>
      </c>
      <c r="AS36" s="40"/>
      <c r="AT36" s="40">
        <f t="shared" ref="AT36:AU36" si="32">(SUM(AT37:AT40,AT46:AT56)+(100%-AT44))/14</f>
        <v>0.97571428571428576</v>
      </c>
      <c r="AU36" s="40">
        <f t="shared" si="32"/>
        <v>0.98403127484760144</v>
      </c>
      <c r="AV36" s="40">
        <f>(SUM(AV37:AV40,AV46:AV56)+(100%-AV44))/14</f>
        <v>0.98642857142857143</v>
      </c>
      <c r="AW36" s="40">
        <v>0.93</v>
      </c>
      <c r="AX36" s="40">
        <f t="shared" ref="AX36:BA36" si="33">(SUM(AX37:AX40,AX46:AX56)+(100%-AX44))/14</f>
        <v>0.96103896103896103</v>
      </c>
      <c r="AY36" s="40">
        <f t="shared" si="33"/>
        <v>0.98071428571428576</v>
      </c>
      <c r="AZ36" s="40">
        <f t="shared" si="33"/>
        <v>0.96999999999999986</v>
      </c>
      <c r="BA36" s="40">
        <f t="shared" si="33"/>
        <v>0.88988095238095233</v>
      </c>
      <c r="BB36" s="40"/>
      <c r="BC36" s="40"/>
      <c r="BD36" s="40"/>
      <c r="BE36" s="40"/>
      <c r="BF36" s="14"/>
    </row>
    <row r="37" spans="1:58" ht="63" x14ac:dyDescent="0.25">
      <c r="A37" s="2" t="s">
        <v>47</v>
      </c>
      <c r="B37" s="35" t="s">
        <v>48</v>
      </c>
      <c r="C37" s="34"/>
      <c r="D37" s="40">
        <v>1</v>
      </c>
      <c r="E37" s="50">
        <v>0</v>
      </c>
      <c r="F37" s="37">
        <v>1</v>
      </c>
      <c r="G37" s="19"/>
      <c r="H37" s="19"/>
      <c r="I37" s="19"/>
      <c r="J37" s="19"/>
      <c r="K37" s="40">
        <v>1</v>
      </c>
      <c r="L37" s="40">
        <f>103/105</f>
        <v>0.98095238095238091</v>
      </c>
      <c r="M37" s="40">
        <v>1</v>
      </c>
      <c r="N37" s="50">
        <v>0</v>
      </c>
      <c r="O37" s="50">
        <v>0</v>
      </c>
      <c r="P37" s="37">
        <v>0.95</v>
      </c>
      <c r="Q37" s="37">
        <f>91/94</f>
        <v>0.96808510638297873</v>
      </c>
      <c r="R37" s="50">
        <v>0</v>
      </c>
      <c r="S37" s="51"/>
      <c r="T37" s="50">
        <v>0</v>
      </c>
      <c r="U37" s="51"/>
      <c r="V37" s="49">
        <v>0</v>
      </c>
      <c r="W37" s="19"/>
      <c r="X37" s="19"/>
      <c r="Y37" s="19"/>
      <c r="Z37" s="19"/>
      <c r="AA37" s="19"/>
      <c r="AB37" s="40">
        <f>48/50</f>
        <v>0.96</v>
      </c>
      <c r="AC37" s="40">
        <v>1</v>
      </c>
      <c r="AD37" s="37">
        <f>101/105</f>
        <v>0.96190476190476193</v>
      </c>
      <c r="AE37" s="37">
        <f>97/100</f>
        <v>0.97</v>
      </c>
      <c r="AF37" s="37">
        <f>225/250</f>
        <v>0.9</v>
      </c>
      <c r="AG37" s="19"/>
      <c r="AH37" s="37">
        <v>1</v>
      </c>
      <c r="AI37" s="19"/>
      <c r="AJ37" s="40">
        <v>0.98</v>
      </c>
      <c r="AK37" s="37">
        <v>1</v>
      </c>
      <c r="AL37" s="19"/>
      <c r="AM37" s="19"/>
      <c r="AN37" s="19"/>
      <c r="AO37" s="40">
        <v>1</v>
      </c>
      <c r="AP37" s="37">
        <v>1</v>
      </c>
      <c r="AQ37" s="40">
        <f>96/100</f>
        <v>0.96</v>
      </c>
      <c r="AR37" s="37">
        <f>49/50</f>
        <v>0.98</v>
      </c>
      <c r="AS37" s="19"/>
      <c r="AT37" s="40">
        <v>1</v>
      </c>
      <c r="AU37" s="40">
        <v>1</v>
      </c>
      <c r="AV37" s="40">
        <v>0.98</v>
      </c>
      <c r="AW37" s="51">
        <v>0</v>
      </c>
      <c r="AX37" s="40">
        <f>42/44</f>
        <v>0.95454545454545459</v>
      </c>
      <c r="AY37" s="40">
        <f>95/100</f>
        <v>0.95</v>
      </c>
      <c r="AZ37" s="40">
        <f>48/50</f>
        <v>0.96</v>
      </c>
      <c r="BA37" s="40">
        <f>21/24</f>
        <v>0.875</v>
      </c>
      <c r="BB37" s="19"/>
      <c r="BC37" s="19"/>
      <c r="BD37" s="19"/>
      <c r="BE37" s="19"/>
      <c r="BF37" s="34"/>
    </row>
    <row r="38" spans="1:58" s="47" customFormat="1" x14ac:dyDescent="0.25">
      <c r="A38" s="52" t="s">
        <v>38</v>
      </c>
      <c r="B38" s="52"/>
      <c r="C38" s="12"/>
      <c r="D38" s="18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22"/>
      <c r="R38" s="12"/>
      <c r="S38" s="12"/>
      <c r="T38" s="12"/>
      <c r="U38" s="12"/>
      <c r="V38" s="22"/>
      <c r="W38" s="12"/>
      <c r="X38" s="12"/>
      <c r="Y38" s="12"/>
      <c r="Z38" s="12"/>
      <c r="AA38" s="12"/>
      <c r="AB38" s="12"/>
      <c r="AC38" s="12"/>
      <c r="AD38" s="12"/>
      <c r="AE38" s="12"/>
      <c r="AF38" s="2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</row>
    <row r="39" spans="1:58" ht="63" x14ac:dyDescent="0.25">
      <c r="A39" s="2" t="s">
        <v>49</v>
      </c>
      <c r="B39" s="35" t="s">
        <v>50</v>
      </c>
      <c r="C39" s="34"/>
      <c r="D39" s="40">
        <v>1</v>
      </c>
      <c r="E39" s="40">
        <f>106/111</f>
        <v>0.95495495495495497</v>
      </c>
      <c r="F39" s="40">
        <f>139/142</f>
        <v>0.97887323943661975</v>
      </c>
      <c r="G39" s="19"/>
      <c r="H39" s="19"/>
      <c r="I39" s="19"/>
      <c r="J39" s="19"/>
      <c r="K39" s="40">
        <v>1</v>
      </c>
      <c r="L39" s="40">
        <f>99/105</f>
        <v>0.94285714285714284</v>
      </c>
      <c r="M39" s="40">
        <v>1</v>
      </c>
      <c r="N39" s="40">
        <f>96/100</f>
        <v>0.96</v>
      </c>
      <c r="O39" s="40">
        <v>1</v>
      </c>
      <c r="P39" s="49">
        <v>0.74</v>
      </c>
      <c r="Q39" s="37">
        <f>90/94</f>
        <v>0.95744680851063835</v>
      </c>
      <c r="R39" s="40">
        <f>50/56</f>
        <v>0.8928571428571429</v>
      </c>
      <c r="S39" s="19"/>
      <c r="T39" s="40">
        <f>77/82</f>
        <v>0.93902439024390238</v>
      </c>
      <c r="U39" s="19"/>
      <c r="V39" s="37">
        <f>98/100</f>
        <v>0.98</v>
      </c>
      <c r="W39" s="19"/>
      <c r="X39" s="19"/>
      <c r="Y39" s="19"/>
      <c r="Z39" s="19"/>
      <c r="AA39" s="19"/>
      <c r="AB39" s="37">
        <f>40/50</f>
        <v>0.8</v>
      </c>
      <c r="AC39" s="37">
        <f>43/50</f>
        <v>0.86</v>
      </c>
      <c r="AD39" s="37">
        <f>99/105</f>
        <v>0.94285714285714284</v>
      </c>
      <c r="AE39" s="37">
        <f>95/100</f>
        <v>0.95</v>
      </c>
      <c r="AF39" s="37">
        <f>193/250</f>
        <v>0.77200000000000002</v>
      </c>
      <c r="AG39" s="19"/>
      <c r="AH39" s="37">
        <f>77/79</f>
        <v>0.97468354430379744</v>
      </c>
      <c r="AI39" s="19"/>
      <c r="AJ39" s="40">
        <v>1</v>
      </c>
      <c r="AK39" s="37">
        <f>77/79</f>
        <v>0.97468354430379744</v>
      </c>
      <c r="AL39" s="19"/>
      <c r="AM39" s="19"/>
      <c r="AN39" s="19"/>
      <c r="AO39" s="37">
        <f>98/100</f>
        <v>0.98</v>
      </c>
      <c r="AP39" s="37">
        <v>1</v>
      </c>
      <c r="AQ39" s="37">
        <f>82/100</f>
        <v>0.82</v>
      </c>
      <c r="AR39" s="37">
        <v>0.96</v>
      </c>
      <c r="AS39" s="19"/>
      <c r="AT39" s="40">
        <f>41/50</f>
        <v>0.82</v>
      </c>
      <c r="AU39" s="40">
        <f>88/98</f>
        <v>0.89795918367346939</v>
      </c>
      <c r="AV39" s="40">
        <v>0.98</v>
      </c>
      <c r="AW39" s="40">
        <v>0.98</v>
      </c>
      <c r="AX39" s="37">
        <f>36/44</f>
        <v>0.81818181818181823</v>
      </c>
      <c r="AY39" s="40">
        <f>92/100</f>
        <v>0.92</v>
      </c>
      <c r="AZ39" s="40">
        <f>42/50</f>
        <v>0.84</v>
      </c>
      <c r="BA39" s="49">
        <f>16/24</f>
        <v>0.66666666666666663</v>
      </c>
      <c r="BB39" s="19"/>
      <c r="BC39" s="19"/>
      <c r="BD39" s="19"/>
      <c r="BE39" s="19"/>
      <c r="BF39" s="34"/>
    </row>
    <row r="40" spans="1:58" ht="47.25" x14ac:dyDescent="0.25">
      <c r="A40" s="2" t="s">
        <v>51</v>
      </c>
      <c r="B40" s="35" t="s">
        <v>52</v>
      </c>
      <c r="C40" s="34"/>
      <c r="D40" s="40">
        <v>1</v>
      </c>
      <c r="E40" s="40">
        <v>1</v>
      </c>
      <c r="F40" s="37">
        <v>1</v>
      </c>
      <c r="G40" s="19"/>
      <c r="H40" s="19"/>
      <c r="I40" s="19"/>
      <c r="J40" s="19"/>
      <c r="K40" s="40">
        <v>1</v>
      </c>
      <c r="L40" s="40">
        <f>104/105</f>
        <v>0.99047619047619051</v>
      </c>
      <c r="M40" s="40">
        <v>1</v>
      </c>
      <c r="N40" s="40">
        <f>98/100</f>
        <v>0.98</v>
      </c>
      <c r="O40" s="40">
        <v>1</v>
      </c>
      <c r="P40" s="37">
        <v>0.93</v>
      </c>
      <c r="Q40" s="37">
        <f>91/94</f>
        <v>0.96808510638297873</v>
      </c>
      <c r="R40" s="40">
        <v>1</v>
      </c>
      <c r="S40" s="19"/>
      <c r="T40" s="40">
        <v>1</v>
      </c>
      <c r="U40" s="19"/>
      <c r="V40" s="37">
        <f>98/100</f>
        <v>0.98</v>
      </c>
      <c r="W40" s="19"/>
      <c r="X40" s="19"/>
      <c r="Y40" s="19"/>
      <c r="Z40" s="19"/>
      <c r="AA40" s="19"/>
      <c r="AB40" s="37">
        <f>48/50</f>
        <v>0.96</v>
      </c>
      <c r="AC40" s="37">
        <f>44/50</f>
        <v>0.88</v>
      </c>
      <c r="AD40" s="37">
        <f>103/105</f>
        <v>0.98095238095238091</v>
      </c>
      <c r="AE40" s="40">
        <v>1</v>
      </c>
      <c r="AF40" s="37">
        <f>226/227</f>
        <v>0.99559471365638763</v>
      </c>
      <c r="AG40" s="19"/>
      <c r="AH40" s="37">
        <v>1</v>
      </c>
      <c r="AI40" s="19"/>
      <c r="AJ40" s="40">
        <v>1</v>
      </c>
      <c r="AK40" s="37">
        <v>1</v>
      </c>
      <c r="AL40" s="19"/>
      <c r="AM40" s="19"/>
      <c r="AN40" s="19"/>
      <c r="AO40" s="37">
        <v>1</v>
      </c>
      <c r="AP40" s="37">
        <v>1</v>
      </c>
      <c r="AQ40" s="37">
        <f>93/100</f>
        <v>0.93</v>
      </c>
      <c r="AR40" s="40">
        <v>1</v>
      </c>
      <c r="AS40" s="19"/>
      <c r="AT40" s="40">
        <v>0.94</v>
      </c>
      <c r="AU40" s="40">
        <f>95/98</f>
        <v>0.96938775510204078</v>
      </c>
      <c r="AV40" s="40">
        <v>0.98</v>
      </c>
      <c r="AW40" s="40">
        <v>1</v>
      </c>
      <c r="AX40" s="37">
        <f>43/44</f>
        <v>0.97727272727272729</v>
      </c>
      <c r="AY40" s="40">
        <f>97/100</f>
        <v>0.97</v>
      </c>
      <c r="AZ40" s="40">
        <f>48/50</f>
        <v>0.96</v>
      </c>
      <c r="BA40" s="37">
        <f>22/24</f>
        <v>0.91666666666666663</v>
      </c>
      <c r="BB40" s="19"/>
      <c r="BC40" s="19"/>
      <c r="BD40" s="19"/>
      <c r="BE40" s="19"/>
      <c r="BF40" s="34"/>
    </row>
    <row r="41" spans="1:58" s="47" customFormat="1" x14ac:dyDescent="0.25">
      <c r="A41" s="52" t="s">
        <v>53</v>
      </c>
      <c r="B41" s="5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</row>
    <row r="42" spans="1:58" ht="31.5" x14ac:dyDescent="0.25">
      <c r="A42" s="29" t="s">
        <v>54</v>
      </c>
      <c r="B42" s="35" t="s">
        <v>55</v>
      </c>
      <c r="C42" s="34"/>
      <c r="D42" s="43">
        <v>11</v>
      </c>
      <c r="E42" s="19">
        <v>25</v>
      </c>
      <c r="F42" s="19">
        <v>18</v>
      </c>
      <c r="G42" s="19"/>
      <c r="H42" s="19"/>
      <c r="I42" s="19"/>
      <c r="J42" s="19"/>
      <c r="K42" s="19">
        <v>15</v>
      </c>
      <c r="L42" s="19">
        <v>20</v>
      </c>
      <c r="M42" s="19">
        <v>20</v>
      </c>
      <c r="N42" s="19">
        <v>20</v>
      </c>
      <c r="O42" s="19">
        <v>14</v>
      </c>
      <c r="P42" s="19">
        <v>5</v>
      </c>
      <c r="Q42" s="19">
        <v>10</v>
      </c>
      <c r="R42" s="19">
        <v>15</v>
      </c>
      <c r="S42" s="19"/>
      <c r="T42" s="19">
        <v>15</v>
      </c>
      <c r="U42" s="19"/>
      <c r="V42" s="19">
        <v>15</v>
      </c>
      <c r="W42" s="19"/>
      <c r="X42" s="19"/>
      <c r="Y42" s="19"/>
      <c r="Z42" s="19"/>
      <c r="AA42" s="19"/>
      <c r="AB42" s="19">
        <v>15</v>
      </c>
      <c r="AC42" s="19">
        <v>18</v>
      </c>
      <c r="AD42" s="19">
        <v>15</v>
      </c>
      <c r="AE42" s="19">
        <v>15</v>
      </c>
      <c r="AF42" s="19">
        <v>15</v>
      </c>
      <c r="AG42" s="19"/>
      <c r="AH42" s="19">
        <v>10</v>
      </c>
      <c r="AI42" s="19"/>
      <c r="AJ42" s="19">
        <v>21</v>
      </c>
      <c r="AK42" s="19">
        <v>15</v>
      </c>
      <c r="AL42" s="19"/>
      <c r="AM42" s="19"/>
      <c r="AN42" s="19"/>
      <c r="AO42" s="19">
        <v>17</v>
      </c>
      <c r="AP42" s="19">
        <v>10</v>
      </c>
      <c r="AQ42" s="19">
        <v>17</v>
      </c>
      <c r="AR42" s="19">
        <v>15</v>
      </c>
      <c r="AS42" s="19"/>
      <c r="AT42" s="19">
        <v>20</v>
      </c>
      <c r="AU42" s="19">
        <v>20</v>
      </c>
      <c r="AV42" s="19">
        <v>10</v>
      </c>
      <c r="AW42" s="19">
        <v>17</v>
      </c>
      <c r="AX42" s="19">
        <v>15</v>
      </c>
      <c r="AY42" s="19">
        <v>14</v>
      </c>
      <c r="AZ42" s="19">
        <v>30</v>
      </c>
      <c r="BA42" s="19">
        <v>20</v>
      </c>
      <c r="BB42" s="19"/>
      <c r="BC42" s="19"/>
      <c r="BD42" s="19"/>
      <c r="BE42" s="19"/>
      <c r="BF42" s="34"/>
    </row>
    <row r="43" spans="1:58" ht="31.5" x14ac:dyDescent="0.25">
      <c r="A43" s="2" t="s">
        <v>56</v>
      </c>
      <c r="B43" s="35" t="s">
        <v>57</v>
      </c>
      <c r="C43" s="34"/>
      <c r="D43" s="19">
        <v>7</v>
      </c>
      <c r="E43" s="19">
        <v>15</v>
      </c>
      <c r="F43" s="19">
        <v>15</v>
      </c>
      <c r="G43" s="19"/>
      <c r="H43" s="19"/>
      <c r="I43" s="19"/>
      <c r="J43" s="19"/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2</v>
      </c>
      <c r="Q43" s="19">
        <v>0</v>
      </c>
      <c r="R43" s="19">
        <v>0</v>
      </c>
      <c r="S43" s="19"/>
      <c r="T43" s="19">
        <v>0</v>
      </c>
      <c r="U43" s="19"/>
      <c r="V43" s="19">
        <v>1</v>
      </c>
      <c r="W43" s="19"/>
      <c r="X43" s="19"/>
      <c r="Y43" s="19"/>
      <c r="Z43" s="19"/>
      <c r="AA43" s="19"/>
      <c r="AB43" s="19">
        <v>3</v>
      </c>
      <c r="AC43" s="19">
        <v>4</v>
      </c>
      <c r="AD43" s="19">
        <v>3</v>
      </c>
      <c r="AE43" s="19">
        <v>5</v>
      </c>
      <c r="AF43" s="19">
        <v>2</v>
      </c>
      <c r="AG43" s="19"/>
      <c r="AH43" s="19">
        <v>5</v>
      </c>
      <c r="AI43" s="19"/>
      <c r="AJ43" s="19">
        <v>2</v>
      </c>
      <c r="AK43" s="19">
        <v>5</v>
      </c>
      <c r="AL43" s="19"/>
      <c r="AM43" s="19"/>
      <c r="AN43" s="19"/>
      <c r="AO43" s="19">
        <v>5</v>
      </c>
      <c r="AP43" s="19">
        <v>2</v>
      </c>
      <c r="AQ43" s="19">
        <v>1</v>
      </c>
      <c r="AR43" s="19">
        <v>5</v>
      </c>
      <c r="AS43" s="19"/>
      <c r="AT43" s="19">
        <v>7</v>
      </c>
      <c r="AU43" s="19">
        <v>5</v>
      </c>
      <c r="AV43" s="19">
        <v>3</v>
      </c>
      <c r="AW43" s="19">
        <v>3</v>
      </c>
      <c r="AX43" s="19">
        <v>4</v>
      </c>
      <c r="AY43" s="19">
        <v>1</v>
      </c>
      <c r="AZ43" s="19">
        <v>5</v>
      </c>
      <c r="BA43" s="19">
        <v>3</v>
      </c>
      <c r="BB43" s="19"/>
      <c r="BC43" s="19"/>
      <c r="BD43" s="19"/>
      <c r="BE43" s="19"/>
      <c r="BF43" s="34"/>
    </row>
    <row r="44" spans="1:58" ht="78.75" x14ac:dyDescent="0.25">
      <c r="A44" s="29" t="s">
        <v>58</v>
      </c>
      <c r="B44" s="35" t="s">
        <v>59</v>
      </c>
      <c r="C44" s="34"/>
      <c r="D44" s="40">
        <v>0</v>
      </c>
      <c r="E44" s="40">
        <v>0</v>
      </c>
      <c r="F44" s="40">
        <v>0</v>
      </c>
      <c r="G44" s="19"/>
      <c r="H44" s="19"/>
      <c r="I44" s="19"/>
      <c r="J44" s="19"/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37">
        <v>0</v>
      </c>
      <c r="Q44" s="37">
        <v>0</v>
      </c>
      <c r="R44" s="40">
        <v>0</v>
      </c>
      <c r="S44" s="19"/>
      <c r="T44" s="40">
        <v>0</v>
      </c>
      <c r="U44" s="19"/>
      <c r="V44" s="37">
        <v>0</v>
      </c>
      <c r="W44" s="19"/>
      <c r="X44" s="19"/>
      <c r="Y44" s="19"/>
      <c r="Z44" s="19"/>
      <c r="AA44" s="19"/>
      <c r="AB44" s="40">
        <v>0</v>
      </c>
      <c r="AC44" s="40">
        <v>0</v>
      </c>
      <c r="AD44" s="37">
        <v>0</v>
      </c>
      <c r="AE44" s="40">
        <v>0</v>
      </c>
      <c r="AF44" s="37">
        <v>0</v>
      </c>
      <c r="AG44" s="19"/>
      <c r="AH44" s="37">
        <v>0</v>
      </c>
      <c r="AI44" s="19"/>
      <c r="AJ44" s="40">
        <v>0</v>
      </c>
      <c r="AK44" s="37">
        <v>0</v>
      </c>
      <c r="AL44" s="19"/>
      <c r="AM44" s="19"/>
      <c r="AN44" s="19"/>
      <c r="AO44" s="40">
        <v>0</v>
      </c>
      <c r="AP44" s="37">
        <v>0</v>
      </c>
      <c r="AQ44" s="40">
        <v>0</v>
      </c>
      <c r="AR44" s="40">
        <v>0</v>
      </c>
      <c r="AS44" s="19"/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37">
        <v>0</v>
      </c>
      <c r="BB44" s="19"/>
      <c r="BC44" s="19"/>
      <c r="BD44" s="19"/>
      <c r="BE44" s="19"/>
      <c r="BF44" s="34"/>
    </row>
    <row r="45" spans="1:58" s="47" customFormat="1" x14ac:dyDescent="0.25">
      <c r="A45" s="52" t="s">
        <v>24</v>
      </c>
      <c r="B45" s="5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22"/>
      <c r="W45" s="12"/>
      <c r="X45" s="12"/>
      <c r="Y45" s="12"/>
      <c r="Z45" s="12"/>
      <c r="AA45" s="12"/>
      <c r="AB45" s="12"/>
      <c r="AC45" s="12"/>
      <c r="AD45" s="2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  <row r="46" spans="1:58" ht="63" x14ac:dyDescent="0.25">
      <c r="A46" s="2" t="s">
        <v>25</v>
      </c>
      <c r="B46" s="35" t="s">
        <v>60</v>
      </c>
      <c r="C46" s="34"/>
      <c r="D46" s="40">
        <v>1</v>
      </c>
      <c r="E46" s="40">
        <f>107/111</f>
        <v>0.963963963963964</v>
      </c>
      <c r="F46" s="40">
        <v>1</v>
      </c>
      <c r="G46" s="19"/>
      <c r="H46" s="19"/>
      <c r="I46" s="19"/>
      <c r="J46" s="19"/>
      <c r="K46" s="40">
        <v>1</v>
      </c>
      <c r="L46" s="40">
        <v>1</v>
      </c>
      <c r="M46" s="40">
        <v>0.9</v>
      </c>
      <c r="N46" s="40">
        <f>91/100</f>
        <v>0.91</v>
      </c>
      <c r="O46" s="40">
        <v>0.94</v>
      </c>
      <c r="P46" s="37">
        <v>0.96</v>
      </c>
      <c r="Q46" s="37">
        <v>1</v>
      </c>
      <c r="R46" s="40">
        <f>49/56</f>
        <v>0.875</v>
      </c>
      <c r="S46" s="19"/>
      <c r="T46" s="40">
        <v>1</v>
      </c>
      <c r="U46" s="19"/>
      <c r="V46" s="37">
        <f>98/100</f>
        <v>0.98</v>
      </c>
      <c r="W46" s="19"/>
      <c r="X46" s="19"/>
      <c r="Y46" s="19"/>
      <c r="Z46" s="19"/>
      <c r="AA46" s="19"/>
      <c r="AB46" s="37">
        <f>48/50</f>
        <v>0.96</v>
      </c>
      <c r="AC46" s="37">
        <f>46/50</f>
        <v>0.92</v>
      </c>
      <c r="AD46" s="37">
        <f>99/105</f>
        <v>0.94285714285714284</v>
      </c>
      <c r="AE46" s="40">
        <v>1</v>
      </c>
      <c r="AF46" s="37">
        <f>240/250</f>
        <v>0.96</v>
      </c>
      <c r="AG46" s="19"/>
      <c r="AH46" s="37">
        <f>78/79</f>
        <v>0.98734177215189878</v>
      </c>
      <c r="AI46" s="19"/>
      <c r="AJ46" s="37">
        <v>0.97</v>
      </c>
      <c r="AK46" s="37">
        <v>0.98</v>
      </c>
      <c r="AL46" s="19"/>
      <c r="AM46" s="19"/>
      <c r="AN46" s="19"/>
      <c r="AO46" s="37">
        <v>1</v>
      </c>
      <c r="AP46" s="37">
        <v>1</v>
      </c>
      <c r="AQ46" s="37">
        <f>95/100</f>
        <v>0.95</v>
      </c>
      <c r="AR46" s="40">
        <v>0.96</v>
      </c>
      <c r="AS46" s="19"/>
      <c r="AT46" s="40">
        <f>49/50</f>
        <v>0.98</v>
      </c>
      <c r="AU46" s="40">
        <f>97/99</f>
        <v>0.97979797979797978</v>
      </c>
      <c r="AV46" s="40">
        <v>0.97</v>
      </c>
      <c r="AW46" s="37">
        <f>48/50</f>
        <v>0.96</v>
      </c>
      <c r="AX46" s="37">
        <v>1</v>
      </c>
      <c r="AY46" s="40">
        <f>96/100</f>
        <v>0.96</v>
      </c>
      <c r="AZ46" s="40">
        <f>49/50</f>
        <v>0.98</v>
      </c>
      <c r="BA46" s="49">
        <f>18/24</f>
        <v>0.75</v>
      </c>
      <c r="BB46" s="19"/>
      <c r="BC46" s="19"/>
      <c r="BD46" s="19"/>
      <c r="BE46" s="19"/>
      <c r="BF46" s="34"/>
    </row>
    <row r="47" spans="1:58" ht="47.25" x14ac:dyDescent="0.25">
      <c r="A47" s="2" t="s">
        <v>27</v>
      </c>
      <c r="B47" s="35" t="s">
        <v>80</v>
      </c>
      <c r="C47" s="34"/>
      <c r="D47" s="40">
        <v>1</v>
      </c>
      <c r="E47" s="40">
        <f>109/111</f>
        <v>0.98198198198198194</v>
      </c>
      <c r="F47" s="40">
        <v>1</v>
      </c>
      <c r="G47" s="19"/>
      <c r="H47" s="19"/>
      <c r="I47" s="19"/>
      <c r="J47" s="19"/>
      <c r="K47" s="40">
        <v>1</v>
      </c>
      <c r="L47" s="40">
        <v>1</v>
      </c>
      <c r="M47" s="40">
        <v>0.94</v>
      </c>
      <c r="N47" s="40">
        <f>89/100</f>
        <v>0.89</v>
      </c>
      <c r="O47" s="40">
        <v>0.88</v>
      </c>
      <c r="P47" s="37">
        <v>0.96</v>
      </c>
      <c r="Q47" s="37">
        <v>1</v>
      </c>
      <c r="R47" s="40">
        <f>50/56</f>
        <v>0.8928571428571429</v>
      </c>
      <c r="S47" s="19"/>
      <c r="T47" s="40">
        <v>1</v>
      </c>
      <c r="U47" s="19"/>
      <c r="V47" s="37">
        <v>1</v>
      </c>
      <c r="W47" s="19"/>
      <c r="X47" s="19"/>
      <c r="Y47" s="19"/>
      <c r="Z47" s="19"/>
      <c r="AA47" s="19"/>
      <c r="AB47" s="37">
        <f>48/50</f>
        <v>0.96</v>
      </c>
      <c r="AC47" s="37">
        <f>47/50</f>
        <v>0.94</v>
      </c>
      <c r="AD47" s="37">
        <f>98/105</f>
        <v>0.93333333333333335</v>
      </c>
      <c r="AE47" s="40">
        <v>1</v>
      </c>
      <c r="AF47" s="37">
        <f>240/250</f>
        <v>0.96</v>
      </c>
      <c r="AG47" s="19"/>
      <c r="AH47" s="37">
        <v>1</v>
      </c>
      <c r="AI47" s="19"/>
      <c r="AJ47" s="37">
        <v>0.98</v>
      </c>
      <c r="AK47" s="37">
        <v>0.98</v>
      </c>
      <c r="AL47" s="19"/>
      <c r="AM47" s="19"/>
      <c r="AN47" s="19"/>
      <c r="AO47" s="37">
        <f>98/100</f>
        <v>0.98</v>
      </c>
      <c r="AP47" s="37">
        <v>1</v>
      </c>
      <c r="AQ47" s="37">
        <f>96/100</f>
        <v>0.96</v>
      </c>
      <c r="AR47" s="40">
        <v>0.96</v>
      </c>
      <c r="AS47" s="19"/>
      <c r="AT47" s="40">
        <f>47/50</f>
        <v>0.94</v>
      </c>
      <c r="AU47" s="40">
        <f>97/99</f>
        <v>0.97979797979797978</v>
      </c>
      <c r="AV47" s="40">
        <v>0.99</v>
      </c>
      <c r="AW47" s="37">
        <f>48/50</f>
        <v>0.96</v>
      </c>
      <c r="AX47" s="37">
        <v>1</v>
      </c>
      <c r="AY47" s="40">
        <f>96/100</f>
        <v>0.96</v>
      </c>
      <c r="AZ47" s="40">
        <f>49/50</f>
        <v>0.98</v>
      </c>
      <c r="BA47" s="49">
        <f>18/24</f>
        <v>0.75</v>
      </c>
      <c r="BB47" s="19"/>
      <c r="BC47" s="19"/>
      <c r="BD47" s="19"/>
      <c r="BE47" s="19"/>
      <c r="BF47" s="34"/>
    </row>
    <row r="48" spans="1:58" s="47" customFormat="1" x14ac:dyDescent="0.25">
      <c r="A48" s="52" t="s">
        <v>29</v>
      </c>
      <c r="B48" s="5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22"/>
      <c r="W48" s="12"/>
      <c r="X48" s="12"/>
      <c r="Y48" s="12"/>
      <c r="Z48" s="12"/>
      <c r="AA48" s="12"/>
      <c r="AB48" s="12"/>
      <c r="AC48" s="12"/>
      <c r="AD48" s="22"/>
      <c r="AE48" s="12"/>
      <c r="AF48" s="2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</row>
    <row r="49" spans="1:58" ht="31.5" x14ac:dyDescent="0.25">
      <c r="A49" s="2" t="s">
        <v>61</v>
      </c>
      <c r="B49" s="35" t="s">
        <v>62</v>
      </c>
      <c r="C49" s="34"/>
      <c r="D49" s="40">
        <v>1</v>
      </c>
      <c r="E49" s="40">
        <v>1</v>
      </c>
      <c r="F49" s="40">
        <v>1</v>
      </c>
      <c r="G49" s="19"/>
      <c r="H49" s="19"/>
      <c r="I49" s="19"/>
      <c r="J49" s="19"/>
      <c r="K49" s="40">
        <v>1</v>
      </c>
      <c r="L49" s="40">
        <v>1</v>
      </c>
      <c r="M49" s="40">
        <v>1</v>
      </c>
      <c r="N49" s="40">
        <v>1</v>
      </c>
      <c r="O49" s="40">
        <v>1</v>
      </c>
      <c r="P49" s="37">
        <v>1</v>
      </c>
      <c r="Q49" s="37">
        <v>1</v>
      </c>
      <c r="R49" s="40">
        <f>53/56</f>
        <v>0.9464285714285714</v>
      </c>
      <c r="S49" s="19"/>
      <c r="T49" s="40">
        <v>1</v>
      </c>
      <c r="U49" s="19"/>
      <c r="V49" s="37">
        <v>1</v>
      </c>
      <c r="W49" s="19"/>
      <c r="X49" s="19"/>
      <c r="Y49" s="19"/>
      <c r="Z49" s="19"/>
      <c r="AA49" s="19"/>
      <c r="AB49" s="40">
        <f>49/50</f>
        <v>0.98</v>
      </c>
      <c r="AC49" s="40">
        <v>1</v>
      </c>
      <c r="AD49" s="37">
        <f>104/105</f>
        <v>0.99047619047619051</v>
      </c>
      <c r="AE49" s="40">
        <v>1</v>
      </c>
      <c r="AF49" s="37">
        <f>247/250</f>
        <v>0.98799999999999999</v>
      </c>
      <c r="AG49" s="19"/>
      <c r="AH49" s="37">
        <v>1</v>
      </c>
      <c r="AI49" s="19"/>
      <c r="AJ49" s="37">
        <v>1</v>
      </c>
      <c r="AK49" s="37">
        <v>1</v>
      </c>
      <c r="AL49" s="19"/>
      <c r="AM49" s="19"/>
      <c r="AN49" s="19"/>
      <c r="AO49" s="40">
        <v>1</v>
      </c>
      <c r="AP49" s="37">
        <v>1</v>
      </c>
      <c r="AQ49" s="40">
        <v>1</v>
      </c>
      <c r="AR49" s="40">
        <v>1</v>
      </c>
      <c r="AS49" s="19"/>
      <c r="AT49" s="40">
        <v>1</v>
      </c>
      <c r="AU49" s="40">
        <v>1</v>
      </c>
      <c r="AV49" s="40">
        <v>0.97</v>
      </c>
      <c r="AW49" s="40">
        <v>0.96</v>
      </c>
      <c r="AX49" s="40">
        <f>43/44</f>
        <v>0.97727272727272729</v>
      </c>
      <c r="AY49" s="40">
        <v>1</v>
      </c>
      <c r="AZ49" s="40">
        <f>48/50</f>
        <v>0.96</v>
      </c>
      <c r="BA49" s="37">
        <f>20/24</f>
        <v>0.83333333333333337</v>
      </c>
      <c r="BB49" s="19"/>
      <c r="BC49" s="19"/>
      <c r="BD49" s="19"/>
      <c r="BE49" s="19"/>
      <c r="BF49" s="34"/>
    </row>
    <row r="50" spans="1:58" ht="47.25" x14ac:dyDescent="0.25">
      <c r="A50" s="2" t="s">
        <v>63</v>
      </c>
      <c r="B50" s="35" t="s">
        <v>64</v>
      </c>
      <c r="C50" s="34"/>
      <c r="D50" s="40">
        <v>1</v>
      </c>
      <c r="E50" s="40">
        <v>1</v>
      </c>
      <c r="F50" s="40">
        <v>1</v>
      </c>
      <c r="G50" s="19"/>
      <c r="H50" s="19"/>
      <c r="I50" s="19"/>
      <c r="J50" s="19"/>
      <c r="K50" s="40">
        <v>1</v>
      </c>
      <c r="L50" s="40">
        <f>103/105</f>
        <v>0.98095238095238091</v>
      </c>
      <c r="M50" s="40">
        <v>1</v>
      </c>
      <c r="N50" s="40">
        <v>1</v>
      </c>
      <c r="O50" s="40">
        <v>1</v>
      </c>
      <c r="P50" s="37">
        <v>0.92</v>
      </c>
      <c r="Q50" s="37">
        <f>89/94</f>
        <v>0.94680851063829785</v>
      </c>
      <c r="R50" s="40">
        <f>55/56</f>
        <v>0.9821428571428571</v>
      </c>
      <c r="S50" s="19"/>
      <c r="T50" s="40">
        <f>81/82</f>
        <v>0.98780487804878048</v>
      </c>
      <c r="U50" s="19"/>
      <c r="V50" s="37">
        <f>99/100</f>
        <v>0.99</v>
      </c>
      <c r="W50" s="19"/>
      <c r="X50" s="19"/>
      <c r="Y50" s="19"/>
      <c r="Z50" s="19"/>
      <c r="AA50" s="19"/>
      <c r="AB50" s="40">
        <v>1</v>
      </c>
      <c r="AC50" s="40">
        <v>1</v>
      </c>
      <c r="AD50" s="37">
        <f>103/105</f>
        <v>0.98095238095238091</v>
      </c>
      <c r="AE50" s="40">
        <v>1</v>
      </c>
      <c r="AF50" s="37">
        <f>241/250</f>
        <v>0.96399999999999997</v>
      </c>
      <c r="AG50" s="19"/>
      <c r="AH50" s="37">
        <v>1</v>
      </c>
      <c r="AI50" s="19"/>
      <c r="AJ50" s="37">
        <v>1</v>
      </c>
      <c r="AK50" s="37">
        <v>1</v>
      </c>
      <c r="AL50" s="19"/>
      <c r="AM50" s="19"/>
      <c r="AN50" s="19"/>
      <c r="AO50" s="40">
        <v>1</v>
      </c>
      <c r="AP50" s="37">
        <v>1</v>
      </c>
      <c r="AQ50" s="40">
        <v>1</v>
      </c>
      <c r="AR50" s="40">
        <v>1</v>
      </c>
      <c r="AS50" s="19"/>
      <c r="AT50" s="40">
        <v>1</v>
      </c>
      <c r="AU50" s="40">
        <v>1</v>
      </c>
      <c r="AV50" s="40">
        <v>1</v>
      </c>
      <c r="AW50" s="40">
        <v>0.98</v>
      </c>
      <c r="AX50" s="40">
        <f>42/44</f>
        <v>0.95454545454545459</v>
      </c>
      <c r="AY50" s="40">
        <f>97/100</f>
        <v>0.97</v>
      </c>
      <c r="AZ50" s="40">
        <f>48/50</f>
        <v>0.96</v>
      </c>
      <c r="BA50" s="49">
        <f>18/24</f>
        <v>0.75</v>
      </c>
      <c r="BB50" s="19"/>
      <c r="BC50" s="19"/>
      <c r="BD50" s="19"/>
      <c r="BE50" s="19"/>
      <c r="BF50" s="34"/>
    </row>
    <row r="51" spans="1:58" ht="63" x14ac:dyDescent="0.25">
      <c r="A51" s="2" t="s">
        <v>65</v>
      </c>
      <c r="B51" s="35" t="s">
        <v>66</v>
      </c>
      <c r="C51" s="34"/>
      <c r="D51" s="40">
        <v>1</v>
      </c>
      <c r="E51" s="40">
        <v>1</v>
      </c>
      <c r="F51" s="40">
        <v>1</v>
      </c>
      <c r="G51" s="19"/>
      <c r="H51" s="19"/>
      <c r="I51" s="19"/>
      <c r="J51" s="19"/>
      <c r="K51" s="40">
        <v>1</v>
      </c>
      <c r="L51" s="40">
        <v>1</v>
      </c>
      <c r="M51" s="40">
        <v>1</v>
      </c>
      <c r="N51" s="40">
        <v>1</v>
      </c>
      <c r="O51" s="40">
        <v>1</v>
      </c>
      <c r="P51" s="37">
        <v>1</v>
      </c>
      <c r="Q51" s="37">
        <v>1</v>
      </c>
      <c r="R51" s="40">
        <v>1</v>
      </c>
      <c r="S51" s="19"/>
      <c r="T51" s="40">
        <v>1</v>
      </c>
      <c r="U51" s="19"/>
      <c r="V51" s="37">
        <v>1</v>
      </c>
      <c r="W51" s="19"/>
      <c r="X51" s="19"/>
      <c r="Y51" s="19"/>
      <c r="Z51" s="19"/>
      <c r="AA51" s="19"/>
      <c r="AB51" s="40">
        <v>1</v>
      </c>
      <c r="AC51" s="40">
        <v>1</v>
      </c>
      <c r="AD51" s="37">
        <v>1</v>
      </c>
      <c r="AE51" s="40">
        <v>1</v>
      </c>
      <c r="AF51" s="37">
        <v>1</v>
      </c>
      <c r="AG51" s="19"/>
      <c r="AH51" s="37">
        <v>1</v>
      </c>
      <c r="AI51" s="19"/>
      <c r="AJ51" s="37">
        <v>1</v>
      </c>
      <c r="AK51" s="37">
        <v>1</v>
      </c>
      <c r="AL51" s="19"/>
      <c r="AM51" s="19"/>
      <c r="AN51" s="19"/>
      <c r="AO51" s="40">
        <v>1</v>
      </c>
      <c r="AP51" s="37">
        <v>1</v>
      </c>
      <c r="AQ51" s="40">
        <v>1</v>
      </c>
      <c r="AR51" s="40">
        <v>1</v>
      </c>
      <c r="AS51" s="19"/>
      <c r="AT51" s="40">
        <v>1</v>
      </c>
      <c r="AU51" s="40">
        <v>1</v>
      </c>
      <c r="AV51" s="40">
        <v>0.98</v>
      </c>
      <c r="AW51" s="40">
        <v>0.98</v>
      </c>
      <c r="AX51" s="40">
        <v>1</v>
      </c>
      <c r="AY51" s="40">
        <v>1</v>
      </c>
      <c r="AZ51" s="40">
        <v>0.98</v>
      </c>
      <c r="BA51" s="37">
        <v>1</v>
      </c>
      <c r="BB51" s="19"/>
      <c r="BC51" s="19"/>
      <c r="BD51" s="19"/>
      <c r="BE51" s="19"/>
      <c r="BF51" s="34"/>
    </row>
    <row r="52" spans="1:58" ht="31.5" x14ac:dyDescent="0.25">
      <c r="A52" s="2" t="s">
        <v>67</v>
      </c>
      <c r="B52" s="35" t="s">
        <v>68</v>
      </c>
      <c r="C52" s="34"/>
      <c r="D52" s="40">
        <v>1</v>
      </c>
      <c r="E52" s="40">
        <v>1</v>
      </c>
      <c r="F52" s="40">
        <v>1</v>
      </c>
      <c r="G52" s="19"/>
      <c r="H52" s="19"/>
      <c r="I52" s="19"/>
      <c r="J52" s="19"/>
      <c r="K52" s="40">
        <v>1</v>
      </c>
      <c r="L52" s="40">
        <v>1</v>
      </c>
      <c r="M52" s="40">
        <v>1</v>
      </c>
      <c r="N52" s="40">
        <v>1</v>
      </c>
      <c r="O52" s="40">
        <v>1</v>
      </c>
      <c r="P52" s="37">
        <v>1</v>
      </c>
      <c r="Q52" s="37">
        <v>1</v>
      </c>
      <c r="R52" s="40">
        <v>1</v>
      </c>
      <c r="S52" s="19"/>
      <c r="T52" s="40">
        <v>1</v>
      </c>
      <c r="U52" s="19"/>
      <c r="V52" s="37">
        <v>1</v>
      </c>
      <c r="W52" s="19"/>
      <c r="X52" s="19"/>
      <c r="Y52" s="19"/>
      <c r="Z52" s="19"/>
      <c r="AA52" s="19"/>
      <c r="AB52" s="40">
        <v>1</v>
      </c>
      <c r="AC52" s="40">
        <v>1</v>
      </c>
      <c r="AD52" s="37">
        <v>1</v>
      </c>
      <c r="AE52" s="40">
        <v>1</v>
      </c>
      <c r="AF52" s="37">
        <v>1</v>
      </c>
      <c r="AG52" s="19"/>
      <c r="AH52" s="37">
        <v>1</v>
      </c>
      <c r="AI52" s="19"/>
      <c r="AJ52" s="37">
        <v>1</v>
      </c>
      <c r="AK52" s="37">
        <v>1</v>
      </c>
      <c r="AL52" s="19"/>
      <c r="AM52" s="19"/>
      <c r="AN52" s="19"/>
      <c r="AO52" s="40">
        <v>1</v>
      </c>
      <c r="AP52" s="37">
        <v>1</v>
      </c>
      <c r="AQ52" s="40">
        <v>1</v>
      </c>
      <c r="AR52" s="40">
        <v>1</v>
      </c>
      <c r="AS52" s="19"/>
      <c r="AT52" s="40">
        <v>1</v>
      </c>
      <c r="AU52" s="40">
        <v>1</v>
      </c>
      <c r="AV52" s="40">
        <v>1</v>
      </c>
      <c r="AW52" s="40">
        <v>1</v>
      </c>
      <c r="AX52" s="40">
        <v>1</v>
      </c>
      <c r="AY52" s="40">
        <v>1</v>
      </c>
      <c r="AZ52" s="40">
        <v>1</v>
      </c>
      <c r="BA52" s="37">
        <v>1</v>
      </c>
      <c r="BB52" s="19"/>
      <c r="BC52" s="19"/>
      <c r="BD52" s="19"/>
      <c r="BE52" s="19"/>
      <c r="BF52" s="34"/>
    </row>
    <row r="53" spans="1:58" ht="31.5" x14ac:dyDescent="0.25">
      <c r="A53" s="2" t="s">
        <v>69</v>
      </c>
      <c r="B53" s="35" t="s">
        <v>70</v>
      </c>
      <c r="C53" s="34"/>
      <c r="D53" s="40">
        <v>1</v>
      </c>
      <c r="E53" s="40">
        <f>108/111</f>
        <v>0.97297297297297303</v>
      </c>
      <c r="F53" s="40">
        <f>137/142</f>
        <v>0.96478873239436624</v>
      </c>
      <c r="G53" s="19"/>
      <c r="H53" s="19"/>
      <c r="I53" s="19"/>
      <c r="J53" s="19"/>
      <c r="K53" s="40">
        <v>1</v>
      </c>
      <c r="L53" s="40">
        <v>1</v>
      </c>
      <c r="M53" s="40">
        <v>1</v>
      </c>
      <c r="N53" s="40">
        <v>1</v>
      </c>
      <c r="O53" s="40">
        <v>1</v>
      </c>
      <c r="P53" s="49">
        <v>0.74</v>
      </c>
      <c r="Q53" s="37">
        <f>93/94</f>
        <v>0.98936170212765961</v>
      </c>
      <c r="R53" s="40">
        <f>54/56</f>
        <v>0.9642857142857143</v>
      </c>
      <c r="S53" s="19"/>
      <c r="T53" s="40">
        <f>80/82</f>
        <v>0.97560975609756095</v>
      </c>
      <c r="U53" s="19"/>
      <c r="V53" s="37">
        <f>98/100</f>
        <v>0.98</v>
      </c>
      <c r="W53" s="19"/>
      <c r="X53" s="19"/>
      <c r="Y53" s="19"/>
      <c r="Z53" s="19"/>
      <c r="AA53" s="19"/>
      <c r="AB53" s="40">
        <f>49/50</f>
        <v>0.98</v>
      </c>
      <c r="AC53" s="40">
        <v>1</v>
      </c>
      <c r="AD53" s="37">
        <f>104/105</f>
        <v>0.99047619047619051</v>
      </c>
      <c r="AE53" s="40">
        <v>1</v>
      </c>
      <c r="AF53" s="37">
        <f>234/250</f>
        <v>0.93600000000000005</v>
      </c>
      <c r="AG53" s="19"/>
      <c r="AH53" s="37">
        <v>1</v>
      </c>
      <c r="AI53" s="19"/>
      <c r="AJ53" s="37">
        <v>1</v>
      </c>
      <c r="AK53" s="37">
        <v>1</v>
      </c>
      <c r="AL53" s="19"/>
      <c r="AM53" s="19"/>
      <c r="AN53" s="19"/>
      <c r="AO53" s="37">
        <f>95/100</f>
        <v>0.95</v>
      </c>
      <c r="AP53" s="37">
        <v>1</v>
      </c>
      <c r="AQ53" s="40">
        <v>1</v>
      </c>
      <c r="AR53" s="40">
        <v>1</v>
      </c>
      <c r="AS53" s="19"/>
      <c r="AT53" s="40">
        <v>0.98</v>
      </c>
      <c r="AU53" s="40">
        <f>94/99</f>
        <v>0.9494949494949495</v>
      </c>
      <c r="AV53" s="40">
        <v>0.97</v>
      </c>
      <c r="AW53" s="40">
        <v>0.94</v>
      </c>
      <c r="AX53" s="37">
        <f>36/44</f>
        <v>0.81818181818181823</v>
      </c>
      <c r="AY53" s="40">
        <v>1</v>
      </c>
      <c r="AZ53" s="40">
        <f>48/50</f>
        <v>0.96</v>
      </c>
      <c r="BA53" s="37">
        <f>22/24</f>
        <v>0.91666666666666663</v>
      </c>
      <c r="BB53" s="19"/>
      <c r="BC53" s="19"/>
      <c r="BD53" s="19"/>
      <c r="BE53" s="19"/>
      <c r="BF53" s="34"/>
    </row>
    <row r="54" spans="1:58" ht="31.5" x14ac:dyDescent="0.25">
      <c r="A54" s="2" t="s">
        <v>79</v>
      </c>
      <c r="B54" s="35" t="s">
        <v>71</v>
      </c>
      <c r="C54" s="34"/>
      <c r="D54" s="40">
        <v>1</v>
      </c>
      <c r="E54" s="40">
        <v>1</v>
      </c>
      <c r="F54" s="40">
        <v>1</v>
      </c>
      <c r="G54" s="19"/>
      <c r="H54" s="19"/>
      <c r="I54" s="19"/>
      <c r="J54" s="19"/>
      <c r="K54" s="40">
        <v>1</v>
      </c>
      <c r="L54" s="40">
        <v>1</v>
      </c>
      <c r="M54" s="40">
        <v>1</v>
      </c>
      <c r="N54" s="40">
        <v>1</v>
      </c>
      <c r="O54" s="40">
        <v>1</v>
      </c>
      <c r="P54" s="37">
        <v>1</v>
      </c>
      <c r="Q54" s="37">
        <v>1</v>
      </c>
      <c r="R54" s="40">
        <f>51/56</f>
        <v>0.9107142857142857</v>
      </c>
      <c r="S54" s="19"/>
      <c r="T54" s="40">
        <v>1</v>
      </c>
      <c r="U54" s="19"/>
      <c r="V54" s="37">
        <f>99/100</f>
        <v>0.99</v>
      </c>
      <c r="W54" s="19"/>
      <c r="X54" s="19"/>
      <c r="Y54" s="19"/>
      <c r="Z54" s="19"/>
      <c r="AA54" s="19"/>
      <c r="AB54" s="40">
        <v>1</v>
      </c>
      <c r="AC54" s="40">
        <v>1</v>
      </c>
      <c r="AD54" s="37">
        <v>1</v>
      </c>
      <c r="AE54" s="40">
        <v>1</v>
      </c>
      <c r="AF54" s="37">
        <v>1</v>
      </c>
      <c r="AG54" s="19"/>
      <c r="AH54" s="37">
        <v>1</v>
      </c>
      <c r="AI54" s="19"/>
      <c r="AJ54" s="37">
        <v>1</v>
      </c>
      <c r="AK54" s="37">
        <v>1</v>
      </c>
      <c r="AL54" s="19"/>
      <c r="AM54" s="19"/>
      <c r="AN54" s="19"/>
      <c r="AO54" s="40">
        <v>1</v>
      </c>
      <c r="AP54" s="37">
        <v>1</v>
      </c>
      <c r="AQ54" s="40">
        <v>1</v>
      </c>
      <c r="AR54" s="40">
        <v>1</v>
      </c>
      <c r="AS54" s="19"/>
      <c r="AT54" s="40">
        <v>1</v>
      </c>
      <c r="AU54" s="40">
        <v>1</v>
      </c>
      <c r="AV54" s="40">
        <v>1</v>
      </c>
      <c r="AW54" s="40">
        <v>1</v>
      </c>
      <c r="AX54" s="40">
        <f>42/44</f>
        <v>0.95454545454545459</v>
      </c>
      <c r="AY54" s="40">
        <v>1</v>
      </c>
      <c r="AZ54" s="40">
        <v>1</v>
      </c>
      <c r="BA54" s="37">
        <v>1</v>
      </c>
      <c r="BB54" s="19"/>
      <c r="BC54" s="19"/>
      <c r="BD54" s="19"/>
      <c r="BE54" s="19"/>
      <c r="BF54" s="34"/>
    </row>
    <row r="55" spans="1:58" ht="47.25" x14ac:dyDescent="0.25">
      <c r="A55" s="2" t="s">
        <v>72</v>
      </c>
      <c r="B55" s="35" t="s">
        <v>73</v>
      </c>
      <c r="C55" s="34"/>
      <c r="D55" s="40">
        <v>1</v>
      </c>
      <c r="E55" s="40">
        <v>1</v>
      </c>
      <c r="F55" s="40">
        <v>1</v>
      </c>
      <c r="G55" s="19"/>
      <c r="H55" s="19"/>
      <c r="I55" s="19"/>
      <c r="J55" s="19"/>
      <c r="K55" s="40">
        <v>1</v>
      </c>
      <c r="L55" s="40">
        <f>104/105</f>
        <v>0.99047619047619051</v>
      </c>
      <c r="M55" s="40">
        <v>1</v>
      </c>
      <c r="N55" s="40">
        <v>1</v>
      </c>
      <c r="O55" s="40">
        <v>1</v>
      </c>
      <c r="P55" s="37">
        <v>1</v>
      </c>
      <c r="Q55" s="37">
        <v>1</v>
      </c>
      <c r="R55" s="40">
        <v>1</v>
      </c>
      <c r="S55" s="19"/>
      <c r="T55" s="40">
        <v>1</v>
      </c>
      <c r="U55" s="19"/>
      <c r="V55" s="37">
        <v>1</v>
      </c>
      <c r="W55" s="19"/>
      <c r="X55" s="19"/>
      <c r="Y55" s="19"/>
      <c r="Z55" s="19"/>
      <c r="AA55" s="19"/>
      <c r="AB55" s="40">
        <v>1</v>
      </c>
      <c r="AC55" s="40">
        <v>1</v>
      </c>
      <c r="AD55" s="37">
        <v>1</v>
      </c>
      <c r="AE55" s="40">
        <v>1</v>
      </c>
      <c r="AF55" s="37">
        <f>248/250</f>
        <v>0.99199999999999999</v>
      </c>
      <c r="AG55" s="19"/>
      <c r="AH55" s="37">
        <v>0.97</v>
      </c>
      <c r="AI55" s="19"/>
      <c r="AJ55" s="37">
        <v>1</v>
      </c>
      <c r="AK55" s="37">
        <v>0.98</v>
      </c>
      <c r="AL55" s="19"/>
      <c r="AM55" s="19"/>
      <c r="AN55" s="19"/>
      <c r="AO55" s="37">
        <v>1</v>
      </c>
      <c r="AP55" s="37">
        <v>1</v>
      </c>
      <c r="AQ55" s="40">
        <f>98/100</f>
        <v>0.98</v>
      </c>
      <c r="AR55" s="40">
        <v>1</v>
      </c>
      <c r="AS55" s="19"/>
      <c r="AT55" s="40">
        <v>1</v>
      </c>
      <c r="AU55" s="40">
        <v>1</v>
      </c>
      <c r="AV55" s="40">
        <v>0.99</v>
      </c>
      <c r="AW55" s="40">
        <v>0.97</v>
      </c>
      <c r="AX55" s="37">
        <v>1</v>
      </c>
      <c r="AY55" s="40">
        <v>1</v>
      </c>
      <c r="AZ55" s="40">
        <v>1</v>
      </c>
      <c r="BA55" s="37">
        <v>1</v>
      </c>
      <c r="BB55" s="19"/>
      <c r="BC55" s="19"/>
      <c r="BD55" s="19"/>
      <c r="BE55" s="19"/>
      <c r="BF55" s="34"/>
    </row>
    <row r="56" spans="1:58" ht="31.5" x14ac:dyDescent="0.25">
      <c r="A56" s="2" t="s">
        <v>74</v>
      </c>
      <c r="B56" s="35" t="s">
        <v>75</v>
      </c>
      <c r="C56" s="34"/>
      <c r="D56" s="40">
        <v>1</v>
      </c>
      <c r="E56" s="40">
        <v>1</v>
      </c>
      <c r="F56" s="40">
        <v>1</v>
      </c>
      <c r="G56" s="19"/>
      <c r="H56" s="19"/>
      <c r="I56" s="19"/>
      <c r="J56" s="19"/>
      <c r="K56" s="40">
        <v>1</v>
      </c>
      <c r="L56" s="40">
        <v>1</v>
      </c>
      <c r="M56" s="40">
        <v>1</v>
      </c>
      <c r="N56" s="40">
        <v>1</v>
      </c>
      <c r="O56" s="40">
        <v>1</v>
      </c>
      <c r="P56" s="37">
        <v>1</v>
      </c>
      <c r="Q56" s="37">
        <v>1</v>
      </c>
      <c r="R56" s="40">
        <v>1</v>
      </c>
      <c r="S56" s="19"/>
      <c r="T56" s="40">
        <v>1</v>
      </c>
      <c r="U56" s="19"/>
      <c r="V56" s="37">
        <v>1</v>
      </c>
      <c r="W56" s="19"/>
      <c r="X56" s="19"/>
      <c r="Y56" s="19"/>
      <c r="Z56" s="19"/>
      <c r="AA56" s="19"/>
      <c r="AB56" s="40">
        <v>1</v>
      </c>
      <c r="AC56" s="40">
        <v>1</v>
      </c>
      <c r="AD56" s="37">
        <v>1</v>
      </c>
      <c r="AE56" s="40">
        <v>1</v>
      </c>
      <c r="AF56" s="37">
        <v>1</v>
      </c>
      <c r="AG56" s="19"/>
      <c r="AH56" s="37">
        <v>1</v>
      </c>
      <c r="AI56" s="19"/>
      <c r="AJ56" s="37">
        <v>1</v>
      </c>
      <c r="AK56" s="37">
        <v>1</v>
      </c>
      <c r="AL56" s="19"/>
      <c r="AM56" s="19"/>
      <c r="AN56" s="19"/>
      <c r="AO56" s="40">
        <v>1</v>
      </c>
      <c r="AP56" s="37">
        <v>1</v>
      </c>
      <c r="AQ56" s="40">
        <v>1</v>
      </c>
      <c r="AR56" s="40">
        <v>1</v>
      </c>
      <c r="AS56" s="19"/>
      <c r="AT56" s="40">
        <v>1</v>
      </c>
      <c r="AU56" s="40">
        <v>1</v>
      </c>
      <c r="AV56" s="40">
        <v>1</v>
      </c>
      <c r="AW56" s="40">
        <v>1</v>
      </c>
      <c r="AX56" s="40">
        <v>1</v>
      </c>
      <c r="AY56" s="40">
        <v>1</v>
      </c>
      <c r="AZ56" s="40">
        <v>1</v>
      </c>
      <c r="BA56" s="37">
        <v>1</v>
      </c>
      <c r="BB56" s="19"/>
      <c r="BC56" s="19"/>
      <c r="BD56" s="19"/>
      <c r="BE56" s="19"/>
      <c r="BF56" s="34"/>
    </row>
  </sheetData>
  <sheetProtection password="DF74" sheet="1" objects="1" scenarios="1" selectLockedCells="1" selectUnlockedCells="1"/>
  <mergeCells count="16">
    <mergeCell ref="A12:B12"/>
    <mergeCell ref="A1:B1"/>
    <mergeCell ref="A2:B2"/>
    <mergeCell ref="A3:B3"/>
    <mergeCell ref="A4:B4"/>
    <mergeCell ref="A6:B6"/>
    <mergeCell ref="A38:B38"/>
    <mergeCell ref="A41:B41"/>
    <mergeCell ref="A45:B45"/>
    <mergeCell ref="A48:B48"/>
    <mergeCell ref="A16:B16"/>
    <mergeCell ref="A20:B20"/>
    <mergeCell ref="A23:B23"/>
    <mergeCell ref="A29:B29"/>
    <mergeCell ref="A30:B30"/>
    <mergeCell ref="A32:B32"/>
  </mergeCells>
  <hyperlinks>
    <hyperlink ref="A7" r:id="rId1" display="http://www.bus.gov.ru/"/>
    <hyperlink ref="A33" r:id="rId2" display="http://www.bus.gov.ru/"/>
  </hyperlinks>
  <pageMargins left="0.19685039370078741" right="0.19685039370078741" top="0.39370078740157483" bottom="0.39370078740157483" header="0" footer="0"/>
  <pageSetup paperSize="9" scale="41" fitToHeight="2" orientation="landscape" verticalDpi="0" r:id="rId3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Ленинградская область</vt:lpstr>
      <vt:lpstr>25.03.2014</vt:lpstr>
      <vt:lpstr>20.05.2014</vt:lpstr>
      <vt:lpstr>30.09.2014</vt:lpstr>
      <vt:lpstr>'20.05.2014'!Заголовки_для_печати</vt:lpstr>
      <vt:lpstr>'25.03.2014'!Заголовки_для_печати</vt:lpstr>
      <vt:lpstr>'30.09.2014'!Заголовки_для_печати</vt:lpstr>
      <vt:lpstr>'Ленинградская область'!Область_печати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User8</cp:lastModifiedBy>
  <cp:lastPrinted>2014-10-07T12:00:55Z</cp:lastPrinted>
  <dcterms:created xsi:type="dcterms:W3CDTF">2014-03-05T04:33:16Z</dcterms:created>
  <dcterms:modified xsi:type="dcterms:W3CDTF">2014-10-07T12:01:49Z</dcterms:modified>
</cp:coreProperties>
</file>